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j65ZfV7EDSi2Rad0yD2sRvSI46GTJ5vJap7ivyjyVqU35h3pZNdnch8WcRuIiCF9L93RdFtlTKy07lN13EzMIg==" workbookSaltValue="SVLIzS1o5XCBsA2DACKMyQ=="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3" i="17" s="1"/>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G10" i="8" s="1"/>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G12" i="12" s="1"/>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R13" i="12"/>
  <c r="P19" i="19"/>
  <c r="BD11" i="13"/>
  <c r="BM18" i="16"/>
  <c r="B13" i="7"/>
  <c r="E18" i="12"/>
  <c r="EL19" i="8"/>
  <c r="AP12" i="11"/>
  <c r="EN19" i="8"/>
  <c r="F12" i="21"/>
  <c r="G10" i="3"/>
  <c r="BA13" i="16"/>
  <c r="AP10" i="11"/>
  <c r="Y12" i="11"/>
  <c r="T10" i="21"/>
  <c r="ES19" i="8"/>
  <c r="G18" i="12"/>
  <c r="C18" i="7"/>
  <c r="BM19" i="8"/>
  <c r="AL13" i="16"/>
  <c r="S13" i="16"/>
  <c r="P13" i="16"/>
  <c r="AM13" i="20"/>
  <c r="H13" i="12"/>
  <c r="F13" i="7"/>
  <c r="T13" i="12"/>
  <c r="BD15" i="8"/>
  <c r="BD9" i="8"/>
  <c r="BA13" i="8"/>
  <c r="I19" i="8"/>
  <c r="T13" i="20"/>
  <c r="T13" i="16"/>
  <c r="AP13" i="16"/>
  <c r="BG15" i="13"/>
  <c r="BE16" i="13"/>
  <c r="AE20" i="20"/>
  <c r="P20" i="20"/>
  <c r="W20" i="21"/>
  <c r="R20" i="20"/>
  <c r="O10" i="11"/>
  <c r="J20" i="20"/>
  <c r="M20" i="20"/>
  <c r="AH20" i="20"/>
  <c r="T20" i="21"/>
  <c r="I20" i="20"/>
  <c r="AJ20" i="20"/>
  <c r="W20" i="20"/>
  <c r="AO20" i="20"/>
  <c r="AU20" i="20"/>
  <c r="Y20" i="20"/>
  <c r="AV20" i="20"/>
  <c r="AQ20" i="20"/>
  <c r="F20" i="20"/>
  <c r="L20" i="20"/>
  <c r="AP20" i="20"/>
  <c r="AF20" i="20"/>
  <c r="O20" i="20"/>
  <c r="Q20" i="20"/>
  <c r="AG20" i="20"/>
  <c r="O16" i="11"/>
  <c r="AQ20" i="21"/>
  <c r="G18" i="14"/>
  <c r="Z20" i="20"/>
  <c r="AM20" i="20"/>
  <c r="AK20" i="20"/>
  <c r="AB20" i="20"/>
  <c r="E20" i="20"/>
  <c r="AV18" i="21" l="1"/>
  <c r="BF17" i="8"/>
  <c r="AH13" i="16"/>
  <c r="Z13" i="17"/>
  <c r="AB13" i="21"/>
  <c r="AB21" i="21" s="1"/>
  <c r="BG12" i="8"/>
  <c r="AC10" i="11"/>
  <c r="J10" i="2"/>
  <c r="C11" i="6"/>
  <c r="M18" i="2"/>
  <c r="AN12" i="11"/>
  <c r="D10" i="6"/>
  <c r="K9" i="7"/>
  <c r="E9" i="6"/>
  <c r="AO17" i="11"/>
  <c r="B17" i="6"/>
  <c r="AO15" i="11"/>
  <c r="AL16" i="11"/>
  <c r="AO9" i="11"/>
  <c r="F15" i="16"/>
  <c r="BL15" i="16" s="1"/>
  <c r="BE12" i="21"/>
  <c r="BE13" i="21" s="1"/>
  <c r="BE19" i="21" s="1"/>
  <c r="BE9" i="13"/>
  <c r="AL9" i="11"/>
  <c r="E11" i="6"/>
  <c r="R17" i="14"/>
  <c r="R8" i="9"/>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F13" i="21"/>
  <c r="AF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K15" i="7" s="1"/>
  <c r="BE15" i="8"/>
  <c r="I15" i="7" s="1"/>
  <c r="O19" i="8"/>
  <c r="F17" i="11"/>
  <c r="AQ17" i="11" s="1"/>
  <c r="F11" i="11"/>
  <c r="AQ11" i="11" s="1"/>
  <c r="Y9" i="11"/>
  <c r="R18" i="11"/>
  <c r="Y10" i="11"/>
  <c r="AC17" i="11"/>
  <c r="AQ10" i="11"/>
  <c r="AR18" i="11"/>
  <c r="B15" i="6"/>
  <c r="C17" i="6"/>
  <c r="AO15" i="17"/>
  <c r="AX21" i="11"/>
  <c r="I12" i="3"/>
  <c r="I10" i="3"/>
  <c r="BI17" i="16"/>
  <c r="J16" i="10"/>
  <c r="L16" i="10" s="1"/>
  <c r="H15" i="7"/>
  <c r="AM15" i="11"/>
  <c r="I18" i="2"/>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C13" i="5"/>
  <c r="BG16" i="8"/>
  <c r="BD16" i="8"/>
  <c r="H16" i="7" s="1"/>
  <c r="F12" i="2"/>
  <c r="AO12" i="11"/>
  <c r="K10" i="12"/>
  <c r="L12" i="14"/>
  <c r="I12" i="7"/>
  <c r="C12" i="6"/>
  <c r="I12" i="12" s="1"/>
  <c r="B12" i="6"/>
  <c r="AO12" i="17"/>
  <c r="L10" i="14"/>
  <c r="B10" i="6"/>
  <c r="I10" i="7"/>
  <c r="T18" i="12"/>
  <c r="AJ19" i="8"/>
  <c r="AL19" i="8"/>
  <c r="G17" i="3"/>
  <c r="G15" i="3"/>
  <c r="G13" i="2"/>
  <c r="K9" i="12"/>
  <c r="K12" i="7"/>
  <c r="AM12" i="11"/>
  <c r="E13" i="2"/>
  <c r="F13" i="2" s="1"/>
  <c r="F10" i="2"/>
  <c r="AN10" i="11"/>
  <c r="D16" i="6"/>
  <c r="E12" i="3"/>
  <c r="E16" i="3"/>
  <c r="AL10" i="11"/>
  <c r="H18" i="3"/>
  <c r="I18" i="3" s="1"/>
  <c r="AH19" i="8"/>
  <c r="J18" i="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AC19" i="17"/>
  <c r="AV13" i="17"/>
  <c r="F11" i="17"/>
  <c r="AQ11" i="17" s="1"/>
  <c r="AX20" i="20"/>
  <c r="AA20" i="20"/>
  <c r="K20" i="20"/>
  <c r="U12" i="11"/>
  <c r="AN20" i="20"/>
  <c r="S20" i="20"/>
  <c r="N20" i="20"/>
  <c r="AD20" i="20"/>
  <c r="AZ20" i="20"/>
  <c r="G13" i="14"/>
  <c r="T20" i="20"/>
  <c r="X20" i="20"/>
  <c r="U10" i="11"/>
  <c r="AI20" i="20"/>
  <c r="AL20" i="20"/>
  <c r="H20" i="20"/>
  <c r="U16" i="11"/>
  <c r="I11" i="12" l="1"/>
  <c r="K15" i="12"/>
  <c r="J12" i="12"/>
  <c r="K16" i="12"/>
  <c r="X12" i="21"/>
  <c r="AP16" i="20"/>
  <c r="BH9" i="16"/>
  <c r="V15" i="11"/>
  <c r="BJ17" i="11"/>
  <c r="BH15" i="11"/>
  <c r="BH15" i="16"/>
  <c r="Q17" i="20"/>
  <c r="Q18" i="20" s="1"/>
  <c r="V11" i="16"/>
  <c r="BF17" i="11"/>
  <c r="BF16" i="11"/>
  <c r="S17" i="16"/>
  <c r="BL12" i="11"/>
  <c r="V12" i="21"/>
  <c r="BK15" i="11"/>
  <c r="S9" i="17"/>
  <c r="V11" i="11"/>
  <c r="BI10" i="11"/>
  <c r="Q10" i="21"/>
  <c r="S16" i="14"/>
  <c r="V16" i="14" s="1"/>
  <c r="V9" i="11"/>
  <c r="BJ11" i="11"/>
  <c r="R10" i="21"/>
  <c r="BJ12" i="11"/>
  <c r="AP15" i="20"/>
  <c r="BG15" i="11"/>
  <c r="R17" i="20"/>
  <c r="R18" i="20" s="1"/>
  <c r="BK17" i="11"/>
  <c r="T17" i="16"/>
  <c r="T15" i="16"/>
  <c r="BU11" i="17"/>
  <c r="BV17" i="16"/>
  <c r="BU10" i="17"/>
  <c r="BV12" i="16"/>
  <c r="BW12" i="20"/>
  <c r="BV11" i="16"/>
  <c r="BW11" i="20"/>
  <c r="U10" i="17"/>
  <c r="BW10" i="20"/>
  <c r="BU16" i="17"/>
  <c r="BV9" i="16"/>
  <c r="S12" i="14"/>
  <c r="V12" i="14" s="1"/>
  <c r="V13" i="14" s="1"/>
  <c r="AZ12" i="11"/>
  <c r="S11" i="14"/>
  <c r="V11" i="14" s="1"/>
  <c r="T16" i="11"/>
  <c r="BG12" i="11"/>
  <c r="Q17" i="17"/>
  <c r="BH10" i="11"/>
  <c r="BI9" i="11"/>
  <c r="AQ10" i="21"/>
  <c r="T12" i="11"/>
  <c r="BJ10" i="11"/>
  <c r="BK16" i="11"/>
  <c r="BH11" i="11"/>
  <c r="BG16" i="11"/>
  <c r="T11" i="11"/>
  <c r="BH16" i="11"/>
  <c r="AQ12" i="21"/>
  <c r="BJ16" i="11"/>
  <c r="BL16" i="11"/>
  <c r="AA10" i="16"/>
  <c r="S15" i="17"/>
  <c r="S16" i="17"/>
  <c r="L12" i="2"/>
  <c r="L17" i="2"/>
  <c r="X15" i="16"/>
  <c r="X18" i="16" s="1"/>
  <c r="T17" i="11"/>
  <c r="BH11" i="16"/>
  <c r="BH17" i="16"/>
  <c r="BM16" i="11"/>
  <c r="BL17" i="11"/>
  <c r="BF10" i="11"/>
  <c r="BK11" i="11"/>
  <c r="AP10" i="21"/>
  <c r="BH9" i="11"/>
  <c r="BI15" i="11"/>
  <c r="X17" i="20"/>
  <c r="BG9" i="11"/>
  <c r="BH17" i="11"/>
  <c r="AP17" i="20"/>
  <c r="BW9" i="20"/>
  <c r="BV16" i="16"/>
  <c r="BV15" i="16"/>
  <c r="BU9" i="17"/>
  <c r="BU17" i="17"/>
  <c r="AA16" i="16"/>
  <c r="X15" i="17"/>
  <c r="X17" i="17"/>
  <c r="P15" i="17"/>
  <c r="BL15" i="11"/>
  <c r="R11" i="14"/>
  <c r="Q15" i="17"/>
  <c r="BF15" i="11"/>
  <c r="BM9" i="11"/>
  <c r="BK10" i="11"/>
  <c r="L15" i="2"/>
  <c r="X10" i="21"/>
  <c r="AA11" i="16"/>
  <c r="V9" i="16"/>
  <c r="BF11" i="11"/>
  <c r="BL9" i="11"/>
  <c r="BG10" i="11"/>
  <c r="P17" i="17"/>
  <c r="BK12" i="11"/>
  <c r="BK9" i="11"/>
  <c r="X11" i="17"/>
  <c r="X9" i="17"/>
  <c r="BM12" i="11"/>
  <c r="S9" i="14"/>
  <c r="V9" i="14" s="1"/>
  <c r="BJ15" i="11"/>
  <c r="BI17" i="11"/>
  <c r="BL11" i="11"/>
  <c r="BM15" i="11"/>
  <c r="Q15" i="11" s="1"/>
  <c r="BU15" i="17"/>
  <c r="BW17" i="20"/>
  <c r="BW16" i="20"/>
  <c r="BW15" i="20"/>
  <c r="BV10" i="16"/>
  <c r="BU12" i="17"/>
  <c r="BU21" i="17" s="1"/>
  <c r="AZ16" i="11"/>
  <c r="AZ11" i="11"/>
  <c r="S15" i="16"/>
  <c r="BF12" i="11"/>
  <c r="BL10" i="11"/>
  <c r="BH10" i="16"/>
  <c r="BM17" i="11"/>
  <c r="S17" i="17"/>
  <c r="BH12" i="16"/>
  <c r="L10" i="2"/>
  <c r="L16" i="2"/>
  <c r="U9" i="17"/>
  <c r="U19" i="17" s="1"/>
  <c r="L9" i="2"/>
  <c r="AA9" i="16"/>
  <c r="V10" i="21"/>
  <c r="V13" i="21" s="1"/>
  <c r="V19" i="21" s="1"/>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AS13" i="11"/>
  <c r="AS18" i="11"/>
  <c r="E13" i="11"/>
  <c r="AH18" i="11"/>
  <c r="S13" i="11"/>
  <c r="T13" i="11" s="1"/>
  <c r="AI13" i="11"/>
  <c r="F18" i="11"/>
  <c r="AU13" i="11"/>
  <c r="AP17" i="11"/>
  <c r="AT13" i="11"/>
  <c r="AV18" i="11"/>
  <c r="R13" i="11"/>
  <c r="Z13" i="11"/>
  <c r="AD13" i="11"/>
  <c r="AF18" i="11"/>
  <c r="AF13"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Q16" i="11"/>
  <c r="P16" i="11"/>
  <c r="Y13" i="11"/>
  <c r="AC16" i="11"/>
  <c r="K13" i="11"/>
  <c r="N18" i="11"/>
  <c r="AZ10" i="11"/>
  <c r="AT18" i="11"/>
  <c r="M13" i="11"/>
  <c r="L13" i="11"/>
  <c r="AP16" i="11"/>
  <c r="Z18" i="11"/>
  <c r="AB13" i="11"/>
  <c r="AI21"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K12" i="12"/>
  <c r="AJ18" i="11"/>
  <c r="D18" i="5"/>
  <c r="F16" i="2"/>
  <c r="H16" i="2"/>
  <c r="J16" i="2"/>
  <c r="F13" i="3"/>
  <c r="E9" i="3"/>
  <c r="G9" i="3"/>
  <c r="AO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AJ13" i="21"/>
  <c r="F13" i="21"/>
  <c r="F19" i="21" s="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W20" i="11"/>
  <c r="AV20" i="21"/>
  <c r="U17" i="11"/>
  <c r="AC20" i="20"/>
  <c r="H20" i="17"/>
  <c r="AL19" i="21" l="1"/>
  <c r="P17" i="11"/>
  <c r="BW21" i="20"/>
  <c r="BJ18" i="11"/>
  <c r="Q9" i="11"/>
  <c r="Q18" i="17"/>
  <c r="Q19" i="17" s="1"/>
  <c r="BL18" i="11"/>
  <c r="BV18" i="16"/>
  <c r="P12" i="11"/>
  <c r="T18" i="16"/>
  <c r="T19" i="16" s="1"/>
  <c r="BK18" i="11"/>
  <c r="BH18" i="11"/>
  <c r="Q10" i="11"/>
  <c r="P9" i="11"/>
  <c r="P15" i="11"/>
  <c r="S18" i="16"/>
  <c r="S19" i="16" s="1"/>
  <c r="BH13" i="11"/>
  <c r="Q19" i="20"/>
  <c r="BK13" i="11"/>
  <c r="BK19" i="11" s="1"/>
  <c r="P18" i="17"/>
  <c r="P19" i="17" s="1"/>
  <c r="R13" i="21"/>
  <c r="R19" i="21" s="1"/>
  <c r="AN21" i="20"/>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F20" i="16"/>
  <c r="AV20" i="11"/>
  <c r="N20" i="17"/>
  <c r="W20" i="17"/>
  <c r="Y20" i="21"/>
  <c r="X20" i="16"/>
  <c r="AC20" i="11"/>
  <c r="S20" i="16"/>
  <c r="X20" i="21"/>
  <c r="AY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Z20" i="21"/>
  <c r="L20" i="11"/>
  <c r="AK20" i="21"/>
  <c r="BN20" i="16"/>
  <c r="X20" i="17"/>
  <c r="Q20" i="17"/>
  <c r="AM20" i="11"/>
  <c r="V20" i="20"/>
  <c r="F20" i="21"/>
  <c r="W20" i="16"/>
  <c r="AW20" i="16"/>
  <c r="AF20" i="11"/>
  <c r="P20" i="11"/>
  <c r="X20" i="11"/>
  <c r="AD20" i="21"/>
  <c r="I20" i="17"/>
  <c r="F20" i="11"/>
  <c r="J20" i="11"/>
  <c r="AT20" i="17"/>
  <c r="S20" i="17"/>
  <c r="AT20" i="16"/>
  <c r="AN20" i="11"/>
  <c r="J20" i="16"/>
  <c r="AT20" i="20"/>
  <c r="AN20" i="21"/>
  <c r="AK20" i="17"/>
  <c r="AX20" i="16"/>
  <c r="K20" i="16"/>
  <c r="V20" i="21"/>
  <c r="AP20" i="17"/>
  <c r="L20" i="17"/>
  <c r="AV20" i="16"/>
  <c r="BB20" i="16"/>
  <c r="AL20" i="11"/>
  <c r="J20" i="21"/>
  <c r="BC20" i="16"/>
  <c r="T20" i="17"/>
  <c r="Y20" i="16"/>
  <c r="O20" i="17"/>
  <c r="G20" i="12"/>
  <c r="M20" i="21"/>
  <c r="U20" i="11"/>
  <c r="W20" i="11"/>
  <c r="AF20" i="17"/>
  <c r="F20" i="17"/>
  <c r="P20" i="17"/>
  <c r="AW20" i="21"/>
  <c r="AL20" i="17"/>
  <c r="R20" i="21"/>
  <c r="I20" i="12"/>
  <c r="E20" i="16"/>
  <c r="BD20" i="16"/>
  <c r="AB20" i="21"/>
  <c r="BQ20" i="16"/>
  <c r="AG20" i="16"/>
  <c r="O20" i="21"/>
  <c r="AB20" i="16"/>
  <c r="Q20" i="11"/>
  <c r="AG20" i="17"/>
  <c r="AO20" i="11"/>
  <c r="O12" i="11"/>
  <c r="BD19" i="8" l="1"/>
  <c r="AQ20" i="17"/>
  <c r="AQ20" i="11"/>
  <c r="BL20" i="16"/>
  <c r="AP20" i="11"/>
  <c r="AT20" i="2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<sst xmlns="http://schemas.openxmlformats.org/spreadsheetml/2006/main" count="2094" uniqueCount="912">
  <si>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</si>
  <si>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</si>
  <si>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</si>
  <si>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</si>
  <si>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</si>
  <si>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</si>
  <si>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</si>
  <si>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</si>
  <si>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</si>
  <si>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</si>
  <si>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</si>
  <si>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</si>
  <si>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</si>
  <si>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</si>
  <si>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</si>
  <si>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</si>
  <si>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</si>
  <si>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</si>
  <si>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</si>
  <si>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</si>
  <si>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</si>
  <si>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</si>
  <si>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</si>
  <si>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</si>
  <si>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</si>
  <si>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</si>
  <si>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</si>
  <si>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</si>
  <si>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</si>
  <si>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</si>
  <si>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</si>
  <si>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</si>
  <si>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</si>
  <si>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</si>
  <si>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</si>
  <si>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</si>
  <si>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</si>
  <si>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</si>
  <si>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</si>
  <si>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</si>
  <si>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</si>
  <si>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</si>
  <si>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</si>
  <si>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</si>
  <si>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</si>
  <si>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</si>
  <si>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</si>
  <si>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</si>
  <si>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</si>
  <si>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</si>
  <si>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</si>
  <si>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</si>
  <si>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</si>
  <si>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</si>
  <si>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</si>
  <si>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</si>
  <si>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</si>
  <si>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</si>
  <si>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</si>
  <si>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</si>
  <si>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</si>
  <si>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</si>
  <si>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</si>
  <si>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</si>
  <si>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</si>
  <si>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</si>
  <si>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</si>
  <si>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</si>
  <si>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</si>
  <si>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</si>
  <si>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</si>
  <si>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</si>
  <si>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</si>
  <si>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</si>
  <si>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</si>
  <si>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</si>
  <si>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</si>
  <si>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</si>
  <si>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</si>
  <si>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</si>
  <si>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</si>
  <si>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</si>
  <si>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</si>
  <si>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</si>
  <si>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</si>
  <si>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</si>
  <si>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</si>
  <si>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</si>
  <si>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</si>
  <si>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</si>
  <si>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</si>
  <si>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</si>
  <si>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</si>
  <si>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</si>
  <si>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</si>
  <si>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</si>
  <si>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</si>
  <si>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</si>
  <si>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</si>
  <si>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</si>
  <si>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</si>
  <si>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</si>
  <si>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</si>
  <si>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</si>
  <si>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</si>
  <si>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</si>
  <si>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</si>
  <si>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</si>
  <si>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</si>
  <si>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</si>
  <si>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</si>
  <si>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</si>
  <si>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</si>
  <si>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</si>
  <si>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</si>
  <si>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</si>
  <si>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</si>
  <si>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</si>
  <si>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</si>
  <si>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</si>
  <si>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</si>
  <si>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</si>
  <si>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</si>
  <si>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</si>
  <si>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</si>
  <si>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</si>
  <si>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</si>
  <si>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</si>
  <si>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</si>
  <si>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</si>
  <si>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</si>
  <si>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</si>
  <si>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</si>
  <si>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</si>
  <si>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</si>
  <si>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</si>
  <si>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</si>
  <si>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</si>
  <si>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</si>
  <si>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</si>
  <si>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</si>
  <si>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</si>
  <si>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</si>
  <si>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</si>
  <si>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</si>
  <si>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</si>
  <si>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</si>
  <si>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</si>
  <si>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</si>
  <si>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</si>
  <si>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</si>
  <si>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</si>
  <si>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</si>
  <si>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</si>
  <si>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</si>
  <si>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</si>
  <si>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</si>
  <si>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</si>
  <si>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</si>
  <si>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</si>
  <si>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</si>
  <si>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</si>
  <si>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</si>
  <si>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</si>
  <si>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</si>
  <si>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</si>
  <si>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</si>
  <si>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</si>
  <si>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</si>
  <si>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</si>
  <si>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</si>
  <si>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</si>
  <si>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</si>
  <si>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</si>
  <si>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</si>
  <si>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</si>
  <si>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</si>
  <si>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</si>
  <si>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</si>
  <si>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</si>
  <si>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</si>
  <si>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</si>
  <si>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</si>
  <si>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</si>
  <si>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</si>
  <si>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</si>
  <si>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</si>
  <si>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</si>
  <si>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</si>
  <si>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</si>
  <si>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</si>
  <si>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</si>
  <si>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</si>
  <si>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</si>
  <si>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</si>
  <si>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</si>
  <si>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</si>
  <si>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</si>
  <si>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</si>
  <si>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</si>
  <si>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</si>
  <si>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</si>
  <si>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</si>
  <si>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</si>
  <si>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</si>
  <si>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</si>
  <si>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</si>
  <si>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</si>
  <si>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</si>
  <si>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</si>
  <si>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</si>
  <si>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</si>
  <si>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</si>
  <si>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</si>
  <si>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</si>
  <si>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</si>
  <si>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</si>
  <si>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</si>
  <si>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</si>
  <si>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</si>
  <si>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</si>
  <si>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</si>
  <si>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</si>
  <si>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</si>
  <si>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</si>
  <si>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</si>
  <si>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</si>
  <si>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</si>
  <si>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</si>
  <si>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</si>
  <si>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</si>
  <si>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</si>
  <si>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</si>
  <si>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</si>
  <si>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</si>
  <si>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</si>
  <si>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</si>
  <si>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</si>
  <si>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</si>
  <si>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</si>
  <si>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</si>
  <si>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</si>
  <si>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</si>
  <si>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</si>
  <si>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</si>
  <si>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</si>
  <si>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</si>
  <si>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</si>
  <si>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</si>
  <si>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</si>
  <si>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</si>
  <si>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</si>
  <si>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</si>
  <si>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</si>
  <si>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</si>
  <si>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</si>
  <si>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</si>
  <si>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</si>
  <si>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</si>
  <si>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</si>
  <si>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</si>
  <si>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</si>
  <si>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</si>
  <si>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</si>
  <si>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</si>
  <si>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</si>
  <si>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</si>
  <si>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</si>
  <si>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</si>
  <si>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</si>
  <si>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</si>
  <si>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</si>
  <si>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</si>
  <si>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</si>
  <si>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</si>
  <si>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</si>
  <si>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</si>
  <si>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</si>
  <si>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</si>
  <si>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</si>
  <si>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</si>
  <si>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</si>
  <si>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</si>
  <si>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</si>
  <si>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</si>
  <si>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</si>
  <si>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</si>
  <si>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</si>
  <si>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</si>
  <si>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</si>
  <si>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</si>
  <si>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</si>
  <si>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</si>
  <si>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</si>
  <si>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</si>
  <si>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</si>
  <si>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</si>
  <si>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</si>
  <si>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</si>
  <si>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</si>
  <si>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</si>
  <si>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</si>
  <si>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</si>
  <si>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</si>
  <si>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</si>
  <si>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</si>
  <si>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</si>
  <si>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</si>
  <si>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</si>
  <si>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</si>
  <si>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</si>
  <si>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</si>
  <si>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</si>
  <si>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</si>
  <si>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</si>
  <si>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</si>
  <si>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</si>
  <si>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</si>
  <si>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</si>
  <si>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</si>
  <si>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</si>
  <si>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</si>
  <si>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</si>
  <si>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</si>
  <si>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</si>
  <si>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</si>
  <si>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</si>
  <si>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</si>
  <si>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</si>
  <si>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</si>
  <si>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</si>
  <si>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</si>
  <si>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</si>
  <si>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</si>
  <si>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</si>
  <si>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</si>
  <si>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</si>
  <si>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</si>
  <si>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</si>
  <si>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</si>
  <si>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</si>
  <si>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</si>
  <si>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</si>
  <si>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</si>
  <si>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</si>
  <si>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</si>
  <si>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</si>
  <si>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</si>
  <si>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</si>
  <si>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</si>
  <si>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</si>
  <si>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</si>
  <si>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</si>
  <si>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</si>
  <si>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</si>
  <si>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</si>
  <si>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</si>
  <si>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</si>
  <si>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</si>
  <si>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</si>
  <si>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</si>
  <si>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</si>
  <si>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</si>
  <si>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</si>
  <si>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</si>
  <si>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</si>
  <si>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</si>
  <si>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</si>
  <si>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</si>
  <si>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</si>
  <si>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</si>
  <si>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</si>
  <si>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</si>
  <si>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</si>
  <si>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</si>
  <si>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</si>
  <si>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</si>
  <si>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</si>
  <si>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</si>
  <si>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</si>
  <si>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</si>
  <si>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</si>
  <si>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</si>
  <si>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</si>
  <si>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</si>
  <si>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</si>
  <si>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</si>
  <si>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</si>
  <si>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</si>
  <si>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</si>
  <si>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</si>
  <si>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</si>
  <si>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</si>
  <si>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</si>
  <si>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</si>
  <si>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</si>
  <si>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</si>
  <si>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</si>
  <si>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</si>
  <si>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</si>
  <si>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</si>
  <si>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</si>
  <si>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</si>
  <si>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</si>
  <si>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</si>
  <si>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</si>
  <si>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</si>
  <si>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</si>
  <si>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</si>
  <si>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</si>
  <si>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</si>
  <si>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</si>
  <si>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</si>
  <si>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</si>
  <si>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</si>
  <si>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</si>
  <si>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</si>
  <si>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</si>
  <si>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</si>
  <si>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</si>
  <si>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</si>
  <si>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</si>
  <si>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</si>
  <si>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</si>
  <si>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</si>
  <si>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</si>
  <si>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</si>
  <si>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</si>
  <si>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</si>
  <si>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</si>
  <si>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</si>
  <si>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</si>
  <si>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</si>
  <si>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</si>
  <si>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</si>
  <si>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</si>
  <si>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</si>
  <si>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</si>
  <si>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</si>
  <si>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</si>
  <si>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</si>
  <si>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</si>
  <si>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</si>
  <si>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</si>
  <si>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</si>
  <si>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</si>
  <si>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</si>
  <si>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</si>
  <si>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</si>
  <si>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</si>
  <si>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</si>
  <si>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</si>
  <si>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</si>
  <si>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</si>
  <si>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</si>
  <si>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</si>
  <si>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</si>
  <si>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</si>
  <si>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</si>
  <si>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</si>
  <si>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</si>
  <si>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</si>
  <si>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</si>
  <si>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</si>
  <si>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</si>
  <si>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</si>
  <si>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</si>
  <si>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</si>
  <si>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</si>
  <si>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</si>
  <si>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</si>
  <si>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</si>
  <si>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</si>
  <si>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</si>
  <si>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</si>
  <si>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</si>
  <si>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</si>
  <si>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</si>
  <si>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</si>
  <si>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</si>
  <si>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</si>
  <si>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</si>
  <si>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</si>
  <si>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</si>
  <si>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</si>
  <si>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</si>
  <si>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</si>
  <si>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</si>
  <si>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</si>
  <si>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</si>
  <si>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</si>
  <si>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</si>
  <si>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</si>
  <si>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</si>
  <si>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</si>
  <si>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</si>
  <si>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</si>
  <si>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</si>
  <si>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</si>
  <si>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</si>
  <si>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</si>
  <si>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</si>
  <si>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</si>
  <si>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</si>
  <si>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</si>
  <si>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</si>
  <si>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</si>
  <si>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</si>
  <si>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</si>
  <si>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</si>
  <si>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</si>
  <si>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</si>
  <si>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</si>
  <si>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</si>
  <si>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</si>
  <si>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</si>
  <si>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</si>
  <si>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</si>
  <si>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</si>
  <si>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</si>
  <si>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</si>
  <si>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</si>
  <si>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</si>
  <si>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</si>
  <si>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</si>
  <si>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</si>
  <si>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</si>
  <si>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</si>
  <si>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</si>
  <si>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</si>
  <si>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</si>
  <si>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</si>
  <si>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</si>
  <si>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</si>
  <si>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</si>
  <si>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</si>
  <si>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</si>
  <si>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</si>
  <si>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</si>
  <si>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</si>
  <si>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</si>
  <si>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</si>
  <si>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</si>
  <si>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</si>
  <si>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</si>
  <si>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</si>
  <si>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</si>
  <si>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</si>
  <si>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</si>
  <si>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</si>
  <si>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</si>
  <si>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</si>
  <si>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</si>
  <si>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</si>
  <si>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</si>
  <si>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</si>
  <si>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</si>
  <si>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</si>
  <si>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</si>
  <si>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</si>
  <si>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</si>
  <si>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</si>
  <si>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</si>
  <si>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</si>
  <si>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</si>
  <si>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</si>
  <si>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</si>
  <si>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</si>
  <si>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</si>
  <si>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</si>
  <si>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</si>
  <si>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</si>
  <si>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</si>
  <si>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</si>
  <si>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</si>
  <si>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</si>
  <si>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</si>
  <si>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</si>
  <si>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</si>
  <si>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</si>
  <si>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</si>
  <si>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</si>
  <si>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</si>
  <si>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</si>
  <si>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</si>
  <si>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</si>
  <si>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</si>
  <si>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</si>
  <si>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</si>
  <si>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</si>
  <si>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</si>
  <si>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</si>
  <si>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</si>
  <si>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</si>
  <si>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</si>
  <si>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</si>
  <si>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</si>
  <si>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</si>
  <si>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</si>
  <si>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</si>
  <si>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</si>
  <si>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</si>
  <si>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</si>
  <si>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</si>
  <si>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</si>
  <si>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</si>
  <si>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</si>
  <si>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</si>
  <si>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</si>
  <si>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</si>
  <si>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</si>
  <si>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</si>
  <si>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</si>
  <si>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</si>
  <si>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</si>
  <si>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</si>
  <si>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</si>
  <si>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</si>
  <si>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</si>
  <si>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</si>
  <si>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</si>
  <si>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</si>
  <si>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</si>
  <si>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</si>
  <si>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</si>
  <si>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</si>
  <si>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</si>
  <si>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</si>
  <si>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</si>
  <si>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</si>
  <si>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</si>
  <si>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</si>
  <si>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</si>
  <si>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</si>
  <si>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</si>
  <si>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</si>
  <si>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</si>
  <si>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</si>
  <si>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</si>
  <si>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</si>
  <si>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</si>
  <si>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</si>
  <si>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</si>
  <si>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</si>
  <si>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</si>
  <si>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</si>
  <si>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</si>
  <si>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</si>
  <si>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</si>
  <si>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</si>
  <si>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</si>
  <si>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</si>
  <si>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</si>
  <si>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</si>
  <si>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</si>
  <si>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</si>
  <si>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</si>
  <si>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</si>
  <si>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</si>
  <si>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</si>
  <si>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</si>
  <si>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</si>
  <si>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</si>
  <si>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</si>
  <si>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</si>
  <si>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</si>
  <si>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</si>
  <si>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</si>
  <si>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</si>
  <si>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</si>
  <si>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</si>
  <si>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</si>
  <si>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</si>
  <si>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</si>
  <si>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</si>
  <si>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</si>
  <si>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</si>
  <si>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</si>
  <si>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</si>
  <si>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</si>
  <si>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</si>
  <si>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</si>
  <si>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</si>
  <si>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</si>
  <si>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</si>
  <si>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</si>
  <si>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</si>
  <si>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</si>
  <si>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</si>
  <si>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</si>
  <si>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</si>
  <si>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</si>
  <si>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</si>
  <si>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</si>
  <si>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</si>
  <si>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</si>
  <si>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</si>
  <si>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</si>
  <si>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</si>
  <si>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</si>
  <si>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</si>
  <si>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</si>
  <si>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</si>
  <si>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</si>
  <si>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</si>
  <si>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</si>
  <si>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</si>
  <si>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</si>
  <si>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</si>
  <si>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</si>
  <si>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</si>
  <si>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</si>
  <si>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</si>
  <si>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</si>
  <si>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</si>
  <si>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</si>
  <si>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</si>
  <si>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</si>
  <si>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</si>
  <si>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</si>
  <si>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</si>
  <si>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</si>
  <si>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</si>
  <si>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</si>
  <si>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</si>
  <si>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</si>
  <si>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</si>
  <si>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</si>
  <si>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</si>
  <si>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</si>
  <si>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</si>
  <si>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</si>
  <si>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</si>
  <si>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</si>
  <si>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</si>
  <si>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</si>
  <si>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</si>
  <si>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</si>
  <si>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</si>
  <si>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</si>
  <si>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</si>
  <si>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</si>
  <si>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</si>
  <si>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</si>
  <si>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</si>
  <si>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</si>
  <si>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</si>
  <si>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</si>
  <si>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</si>
  <si>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</si>
  <si>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</si>
  <si>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</si>
  <si>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</si>
  <si>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</si>
  <si>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</si>
  <si>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</si>
  <si>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</si>
  <si>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</si>
  <si>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</si>
  <si>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</si>
  <si>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</si>
  <si>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</si>
  <si>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</si>
  <si>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</si>
  <si>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</si>
  <si>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</si>
  <si>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</si>
  <si>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</si>
  <si>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</si>
  <si>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</si>
  <si>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</si>
  <si>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</si>
  <si>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</si>
  <si>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</si>
  <si>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</si>
  <si>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</si>
  <si>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</si>
  <si>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</si>
  <si>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</si>
  <si>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</si>
  <si>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</si>
  <si>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</si>
  <si>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</si>
  <si>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</si>
  <si>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</si>
  <si>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</si>
  <si>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</si>
  <si>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</si>
  <si>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</si>
  <si>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</si>
  <si>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</si>
  <si>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</si>
  <si>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</si>
  <si>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</si>
  <si>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</si>
  <si>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</si>
  <si>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</si>
  <si>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</si>
  <si>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</si>
  <si>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</si>
  <si>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</si>
  <si>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</si>
  <si>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</si>
  <si>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</si>
  <si>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</si>
  <si>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</si>
  <si>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</si>
  <si>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</si>
  <si>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</si>
  <si>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</si>
  <si>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</si>
  <si>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</si>
  <si>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</si>
  <si>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</si>
  <si>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</si>
  <si>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</si>
  <si>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</si>
  <si>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</si>
  <si>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</si>
  <si>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</si>
  <si>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</si>
  <si>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</si>
  <si>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</si>
  <si>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</si>
  <si>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</si>
  <si>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</si>
  <si>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</si>
  <si>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</si>
  <si>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</si>
  <si>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</si>
  <si>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</si>
  <si>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</si>
  <si>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</si>
  <si>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</si>
  <si>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</si>
  <si>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</si>
  <si>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</si>
  <si>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</si>
  <si>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</si>
  <si>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</si>
  <si>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</si>
  <si>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</si>
  <si>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</si>
  <si>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</si>
  <si>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</si>
  <si>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</si>
  <si>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</si>
  <si>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</si>
  <si>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</si>
  <si>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</si>
  <si>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</si>
  <si>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</si>
  <si>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</si>
  <si>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</si>
  <si>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</si>
  <si>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</si>
  <si>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</si>
  <si>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</si>
  <si>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</si>
  <si>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</si>
  <si>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</si>
  <si>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</si>
  <si>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</si>
  <si>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</si>
  <si>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</si>
  <si>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</si>
  <si>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</si>
  <si>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</si>
  <si>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</si>
  <si>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</si>
  <si>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</si>
  <si>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</si>
  <si>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</si>
  <si>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</si>
  <si>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</si>
  <si>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</si>
  <si>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</si>
  <si>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</si>
  <si>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</si>
  <si>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</si>
  <si>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</si>
  <si>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</si>
  <si>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</si>
  <si>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</si>
  <si>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</si>
  <si>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</si>
  <si>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</si>
  <si>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</si>
  <si>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</si>
  <si>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</si>
  <si>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</si>
  <si>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</si>
  <si>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</si>
  <si>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</si>
  <si>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</si>
  <si>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</si>
  <si>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</si>
  <si>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</si>
  <si>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</si>
  <si>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</si>
  <si>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</si>
  <si>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</si>
  <si>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</si>
  <si>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</si>
  <si>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</si>
  <si>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</si>
  <si>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</si>
  <si>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</si>
  <si>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MADRID</t>
  </si>
  <si>
    <t>Provincias</t>
  </si>
  <si>
    <t>Resumenes por Partidos Judiciales</t>
  </si>
  <si>
    <t>NAVALCARNERO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</si>
</sst>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908</v>
      </c>
      <c r="C10" s="381"/>
      <c r="D10" s="381"/>
      <c r="E10" s="390"/>
      <c r="F10" s="3"/>
      <c r="Q10" s="355">
        <v>0</v>
      </c>
    </row>
    <row r="11" spans="1:19" ht="13.5" thickBot="1">
      <c r="A11" s="391" t="s">
        <v>910</v>
      </c>
      <c r="B11" s="392" t="s">
        <v>911</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uTg5rCPovbk3Ui9Q6uEKKk0CVrbP/y8r0Ap+bOsSCcvt0VlF7NaTHe2Y26uCJaVUfBNDsbL+tO8Y9myC3zAN2A==" saltValue="tKlK6YzFhTpjJPy/E1aYG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MADRID</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74</v>
      </c>
      <c r="D10" s="229">
        <f>IF(ISNUMBER(Datos!I10),Datos!I10," - ")</f>
        <v>74</v>
      </c>
      <c r="E10" s="230">
        <f>IF(ISNUMBER(Datos!J10),Datos!J10," - ")</f>
        <v>25</v>
      </c>
      <c r="F10" s="230">
        <f>IF(ISNUMBER(Datos!K10),Datos!K10," - ")</f>
        <v>22</v>
      </c>
      <c r="G10" s="1189" t="str">
        <f>IF(Datos!E10&lt;&gt;"",Datos!E10,Datos!D10)</f>
        <v>37</v>
      </c>
      <c r="H10" s="231">
        <f>IF(ISNUMBER(Datos!L10),Datos!L10," - ")</f>
        <v>77</v>
      </c>
      <c r="I10" s="1199" t="str">
        <f>IF(ISNUMBER(Datos!AS10/Datos!BM10),Datos!AS10/Datos!BM10," - ")</f>
        <v xml:space="preserve"> - </v>
      </c>
      <c r="J10" s="1200">
        <f>IF(ISNUMBER(Datos!BY10/Datos!CN10),Datos!BY10/Datos!CN10," - ")</f>
        <v>0</v>
      </c>
      <c r="K10" s="234">
        <f t="shared" ref="K10:K12" si="1">IF(ISNUMBER((E10-F10)/C10),(E10-F10)/C10," - ")</f>
        <v>4.0540540540540543E-2</v>
      </c>
      <c r="L10" s="1201">
        <f>IF(ISNUMBER(NºAsuntos!I10/NºAsuntos!G10),(NºAsuntos!I10/NºAsuntos!G10)*11," - ")</f>
        <v>38.5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8</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42.566901408450704</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74</v>
      </c>
      <c r="D13" s="1206">
        <f>SUBTOTAL(9,D9:D12)</f>
        <v>74</v>
      </c>
      <c r="E13" s="1207">
        <f>SUBTOTAL(9,E9:E12)</f>
        <v>25</v>
      </c>
      <c r="F13" s="1208">
        <f>SUBTOTAL(9,F9:F12)</f>
        <v>22</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8</v>
      </c>
      <c r="B16" s="1254" t="str">
        <f>Datos!A16</f>
        <v xml:space="preserve">Jdos. 1ª Instª. e Instr.                        </v>
      </c>
      <c r="C16" s="229">
        <f t="shared" si="2"/>
        <v>1840</v>
      </c>
      <c r="D16" s="229">
        <f>IF(ISNUMBER(IF(D_I="SI",Datos!I16,Datos!I16+Datos!AC16)),IF(D_I="SI",Datos!I16,Datos!I16+Datos!AC16)," - ")</f>
        <v>1804</v>
      </c>
      <c r="E16" s="230">
        <f>IF(ISNUMBER(IF(D_I="SI",Datos!J16,Datos!J16+Datos!AD16)),IF(D_I="SI",Datos!J16,Datos!J16+Datos!AD16)," - ")</f>
        <v>1834</v>
      </c>
      <c r="F16" s="230">
        <f>IF(ISNUMBER(IF(D_I="SI",Datos!K16,Datos!K16+Datos!AE16)),IF(D_I="SI",Datos!K16,Datos!K16+Datos!AE16)," - ")</f>
        <v>1662</v>
      </c>
      <c r="G16" s="1189" t="str">
        <f>IF(Datos!E16&lt;&gt;"",Datos!E16,Datos!D16)</f>
        <v>04</v>
      </c>
      <c r="H16" s="231">
        <f>IF(ISNUMBER(IF(D_I="SI",Datos!L16,Datos!L16+Datos!AF16)),IF(D_I="SI",Datos!L16,Datos!L16+Datos!AF16)," - ")</f>
        <v>2012</v>
      </c>
      <c r="I16" s="1199" t="str">
        <f>IF(ISNUMBER(Datos!AS16/Datos!BM16),Datos!AS16/Datos!BM16," - ")</f>
        <v xml:space="preserve"> - </v>
      </c>
      <c r="J16" s="1200">
        <f>IF(ISNUMBER(Datos!BY16/Datos!CN16),Datos!BY16/Datos!CN16," - ")</f>
        <v>0</v>
      </c>
      <c r="K16" s="234">
        <f t="shared" si="3"/>
        <v>9.3478260869565219E-2</v>
      </c>
      <c r="L16" s="1201">
        <f>IF(ISNUMBER(NºAsuntos!I16/NºAsuntos!G16),(NºAsuntos!I16/NºAsuntos!G16)*11," - ")</f>
        <v>13.316486161251504</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191</v>
      </c>
      <c r="D17" s="229">
        <f>IF(ISNUMBER(IF(D_I="SI",Datos!I17,Datos!I17+Datos!AC17)),IF(D_I="SI",Datos!I17,Datos!I17+Datos!AC17)," - ")</f>
        <v>191</v>
      </c>
      <c r="E17" s="230">
        <f>IF(ISNUMBER(IF(D_I="SI",Datos!J17,Datos!J17+Datos!AD17)),IF(D_I="SI",Datos!J17,Datos!J17+Datos!AD17)," - ")</f>
        <v>122</v>
      </c>
      <c r="F17" s="230">
        <f>IF(ISNUMBER(IF(D_I="SI",Datos!K17,Datos!K17+Datos!AE17)),IF(D_I="SI",Datos!K17,Datos!K17+Datos!AE17)," - ")</f>
        <v>144</v>
      </c>
      <c r="G17" s="1189" t="str">
        <f>IF(Datos!E17&lt;&gt;"",Datos!E17,Datos!D17)</f>
        <v>37</v>
      </c>
      <c r="H17" s="231">
        <f>IF(ISNUMBER(IF(D_I="SI",Datos!L17,Datos!L17+Datos!AF17)),IF(D_I="SI",Datos!L17,Datos!L17+Datos!AF17)," - ")</f>
        <v>169</v>
      </c>
      <c r="I17" s="1199" t="str">
        <f>IF(ISNUMBER(Datos!AS17/Datos!BM17),Datos!AS17/Datos!BM17," - ")</f>
        <v xml:space="preserve"> - </v>
      </c>
      <c r="J17" s="1200" t="str">
        <f>IF(ISNUMBER((Datos!BY17+Datos!BZ17)/Datos!CN17),(Datos!BY17+Datos!BZ17)/Datos!CN17," - ")</f>
        <v xml:space="preserve"> - </v>
      </c>
      <c r="K17" s="234">
        <f t="shared" si="3"/>
        <v>-0.11518324607329843</v>
      </c>
      <c r="L17" s="1201">
        <f>IF(ISNUMBER(NºAsuntos!I17/NºAsuntos!G17),(NºAsuntos!I17/NºAsuntos!G17)*11," - ")</f>
        <v>12.909722222222223</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2031</v>
      </c>
      <c r="D18" s="1206">
        <f>SUBTOTAL(9,D15:D17)</f>
        <v>1995</v>
      </c>
      <c r="E18" s="1207">
        <f>SUBTOTAL(9,E15:E17)</f>
        <v>1956</v>
      </c>
      <c r="F18" s="1207">
        <f>SUBTOTAL(9,F15:F17)</f>
        <v>1806</v>
      </c>
      <c r="G18" s="1209" t="str">
        <f ca="1">INDIRECT(CONCATENATE("G",ROW()-1))</f>
        <v>37</v>
      </c>
      <c r="H18" s="1210">
        <f ca="1">SUMIF(G$14:G17,G18,H$14:H17)</f>
        <v>169</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2105</v>
      </c>
      <c r="D19" s="1228">
        <f>SUBTOTAL(9,D9:D18)</f>
        <v>2069</v>
      </c>
      <c r="E19" s="1229">
        <f>SUBTOTAL(9,E9:E18)</f>
        <v>1981</v>
      </c>
      <c r="F19" s="1229">
        <f>SUBTOTAL(9,F9:F18)</f>
        <v>1828</v>
      </c>
      <c r="G19" s="1230"/>
      <c r="H19" s="1231">
        <f ca="1">SUMIF(B9:B18,"TOTAL",H9:H18)</f>
        <v>169</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k9C2/l+f1iIu9FiIcVfQ5EHaiBSsoex7V6lPzRWyFycBcEB2+qQ7GLG9Z0l1Awmh1Q1q8xeYi4Sayh20tnkvnQ==" saltValue="U2AFgKwz1v4cUlvvF2JtY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3Tu5JjI1ZuAHSORvkxDo1jCI+DTZ9a3Fa/NVukDEb9PKuiqJ6NXbbyjN7rvrUCQhfqWTTDx0gTHNZI0dCV/AJg==" saltValue="bdIUhFXmR3xEjKGnR4TlT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74</v>
      </c>
      <c r="J10" s="185">
        <v>25</v>
      </c>
      <c r="K10" s="185">
        <v>22</v>
      </c>
      <c r="L10" s="185">
        <v>77</v>
      </c>
      <c r="M10" s="185">
        <v>9</v>
      </c>
      <c r="N10" s="185">
        <v>13</v>
      </c>
      <c r="O10" s="185">
        <v>11</v>
      </c>
      <c r="P10" s="185">
        <v>8</v>
      </c>
      <c r="Q10" s="185">
        <v>11</v>
      </c>
      <c r="R10" s="185">
        <v>85</v>
      </c>
      <c r="S10" s="185">
        <v>86</v>
      </c>
      <c r="T10" s="185">
        <v>10</v>
      </c>
      <c r="U10" s="185">
        <v>8</v>
      </c>
      <c r="V10" s="185">
        <v>88</v>
      </c>
      <c r="W10" s="185">
        <v>4</v>
      </c>
      <c r="X10" s="192">
        <v>2</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86</v>
      </c>
      <c r="AZ10" s="130">
        <f t="shared" si="0"/>
        <v>10</v>
      </c>
      <c r="BA10" s="130">
        <f t="shared" si="0"/>
        <v>8</v>
      </c>
      <c r="BB10" s="130">
        <f t="shared" si="0"/>
        <v>88</v>
      </c>
      <c r="BC10" s="126">
        <f t="shared" si="0"/>
        <v>4</v>
      </c>
      <c r="BD10" s="127">
        <f>IF(ISNUMBER(BA10/AZ10),BA10/AZ10," - ")</f>
        <v>0.8</v>
      </c>
      <c r="BE10" s="128">
        <f>IF(ISNUMBER(BB10/BA10),BB10/BA10, " - ")</f>
        <v>11</v>
      </c>
      <c r="BF10" s="128">
        <f>IF(ISNUMBER(BC10/BA10),BC10/BA10, " - ")</f>
        <v>0.5</v>
      </c>
      <c r="BG10" s="200">
        <f>IF(ISNUMBER((AY10+AZ10)/BA10),(AY10+AZ10)/BA10," - ")</f>
        <v>12</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7282</v>
      </c>
      <c r="J12" s="187">
        <v>1840</v>
      </c>
      <c r="K12" s="187">
        <v>1730</v>
      </c>
      <c r="L12" s="187">
        <v>7281</v>
      </c>
      <c r="M12" s="187">
        <v>231</v>
      </c>
      <c r="N12" s="187">
        <v>1048</v>
      </c>
      <c r="O12" s="185">
        <v>685</v>
      </c>
      <c r="P12" s="187">
        <v>322</v>
      </c>
      <c r="Q12" s="187">
        <v>262</v>
      </c>
      <c r="R12" s="187">
        <v>7700</v>
      </c>
      <c r="S12" s="187">
        <v>6186</v>
      </c>
      <c r="T12" s="187">
        <v>1628</v>
      </c>
      <c r="U12" s="187">
        <v>1310</v>
      </c>
      <c r="V12" s="187">
        <v>6492</v>
      </c>
      <c r="W12" s="187">
        <v>240</v>
      </c>
      <c r="X12" s="193">
        <v>799</v>
      </c>
      <c r="Y12" s="195">
        <v>468</v>
      </c>
      <c r="Z12" s="185">
        <v>202</v>
      </c>
      <c r="AA12" s="185">
        <v>258</v>
      </c>
      <c r="AB12" s="185">
        <v>412</v>
      </c>
      <c r="AC12" s="187">
        <v>0</v>
      </c>
      <c r="AD12" s="187">
        <v>0</v>
      </c>
      <c r="AE12" s="187">
        <v>0</v>
      </c>
      <c r="AF12" s="193">
        <v>0</v>
      </c>
      <c r="AG12" s="206">
        <v>517</v>
      </c>
      <c r="AH12" s="187">
        <v>377</v>
      </c>
      <c r="AI12" s="187">
        <v>300</v>
      </c>
      <c r="AJ12" s="207">
        <v>593</v>
      </c>
      <c r="AK12" s="186">
        <v>0</v>
      </c>
      <c r="AL12" s="187">
        <v>0</v>
      </c>
      <c r="AM12" s="187">
        <v>0</v>
      </c>
      <c r="AN12" s="193">
        <v>0</v>
      </c>
      <c r="AO12" s="263">
        <v>8</v>
      </c>
      <c r="AP12" s="159">
        <v>8</v>
      </c>
      <c r="AQ12" s="159">
        <v>8</v>
      </c>
      <c r="AR12" s="158">
        <v>8</v>
      </c>
      <c r="AS12" s="349" t="s">
        <v>811</v>
      </c>
      <c r="AT12" s="207"/>
      <c r="AU12" s="206"/>
      <c r="AV12" s="207"/>
      <c r="AW12" s="206"/>
      <c r="AX12" s="207"/>
      <c r="AY12" s="127">
        <f t="shared" si="1"/>
        <v>6703</v>
      </c>
      <c r="AZ12" s="128">
        <f t="shared" si="1"/>
        <v>2005</v>
      </c>
      <c r="BA12" s="128">
        <f t="shared" si="1"/>
        <v>1610</v>
      </c>
      <c r="BB12" s="128">
        <f t="shared" si="1"/>
        <v>7085</v>
      </c>
      <c r="BC12" s="126">
        <f>IF(ISNUMBER(X12),X12," - ")</f>
        <v>799</v>
      </c>
      <c r="BD12" s="127">
        <f t="shared" si="2"/>
        <v>0.80299251870324184</v>
      </c>
      <c r="BE12" s="128">
        <f t="shared" si="3"/>
        <v>4.4006211180124222</v>
      </c>
      <c r="BF12" s="128">
        <f t="shared" si="4"/>
        <v>0.49627329192546582</v>
      </c>
      <c r="BG12" s="200">
        <f t="shared" si="5"/>
        <v>5.4086956521739129</v>
      </c>
      <c r="BH12" s="159">
        <v>7</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7356</v>
      </c>
      <c r="J13" s="188">
        <f t="shared" si="6"/>
        <v>1865</v>
      </c>
      <c r="K13" s="188">
        <f t="shared" si="6"/>
        <v>1752</v>
      </c>
      <c r="L13" s="188">
        <f t="shared" si="6"/>
        <v>7358</v>
      </c>
      <c r="M13" s="188">
        <f t="shared" si="6"/>
        <v>240</v>
      </c>
      <c r="N13" s="188">
        <f t="shared" si="6"/>
        <v>1061</v>
      </c>
      <c r="O13" s="188">
        <f t="shared" si="6"/>
        <v>696</v>
      </c>
      <c r="P13" s="188">
        <f t="shared" si="6"/>
        <v>330</v>
      </c>
      <c r="Q13" s="188">
        <f t="shared" si="6"/>
        <v>273</v>
      </c>
      <c r="R13" s="188">
        <f t="shared" si="6"/>
        <v>7785</v>
      </c>
      <c r="S13" s="188">
        <f t="shared" si="6"/>
        <v>6272</v>
      </c>
      <c r="T13" s="188">
        <f t="shared" si="6"/>
        <v>1638</v>
      </c>
      <c r="U13" s="188">
        <f t="shared" si="6"/>
        <v>1318</v>
      </c>
      <c r="V13" s="188">
        <f t="shared" si="6"/>
        <v>6580</v>
      </c>
      <c r="W13" s="188">
        <f t="shared" si="6"/>
        <v>244</v>
      </c>
      <c r="X13" s="188">
        <f t="shared" si="6"/>
        <v>801</v>
      </c>
      <c r="Y13" s="188">
        <f t="shared" si="6"/>
        <v>468</v>
      </c>
      <c r="Z13" s="188">
        <f t="shared" si="6"/>
        <v>202</v>
      </c>
      <c r="AA13" s="188">
        <f t="shared" si="6"/>
        <v>258</v>
      </c>
      <c r="AB13" s="188">
        <f t="shared" si="6"/>
        <v>412</v>
      </c>
      <c r="AC13" s="188">
        <f t="shared" si="6"/>
        <v>0</v>
      </c>
      <c r="AD13" s="188">
        <f t="shared" si="6"/>
        <v>0</v>
      </c>
      <c r="AE13" s="188">
        <f t="shared" si="6"/>
        <v>0</v>
      </c>
      <c r="AF13" s="188">
        <f>SUBTOTAL(9,AF9:AF12)</f>
        <v>0</v>
      </c>
      <c r="AG13" s="188">
        <f t="shared" ref="AG13:AT13" si="7">SUBTOTAL(9,AG8:AG12)</f>
        <v>517</v>
      </c>
      <c r="AH13" s="188">
        <f t="shared" si="7"/>
        <v>377</v>
      </c>
      <c r="AI13" s="188">
        <f t="shared" si="7"/>
        <v>300</v>
      </c>
      <c r="AJ13" s="188">
        <f t="shared" si="7"/>
        <v>593</v>
      </c>
      <c r="AK13" s="188">
        <f t="shared" si="7"/>
        <v>0</v>
      </c>
      <c r="AL13" s="188">
        <f t="shared" si="7"/>
        <v>0</v>
      </c>
      <c r="AM13" s="188">
        <f t="shared" si="7"/>
        <v>0</v>
      </c>
      <c r="AN13" s="188">
        <f t="shared" si="7"/>
        <v>0</v>
      </c>
      <c r="AO13" s="188">
        <f t="shared" si="7"/>
        <v>9</v>
      </c>
      <c r="AP13" s="188">
        <f t="shared" si="7"/>
        <v>8</v>
      </c>
      <c r="AQ13" s="188">
        <f t="shared" si="7"/>
        <v>8</v>
      </c>
      <c r="AR13" s="188">
        <f t="shared" si="7"/>
        <v>8</v>
      </c>
      <c r="AS13" s="188">
        <f t="shared" si="7"/>
        <v>0</v>
      </c>
      <c r="AT13" s="188">
        <f t="shared" si="7"/>
        <v>0</v>
      </c>
      <c r="AU13" s="208"/>
      <c r="AV13" s="133"/>
      <c r="AW13" s="208"/>
      <c r="AX13" s="133"/>
      <c r="AY13" s="188">
        <f>SUBTOTAL(9,AY8:AY12)</f>
        <v>6789</v>
      </c>
      <c r="AZ13" s="188">
        <f>SUBTOTAL(9,AZ8:AZ12)</f>
        <v>2015</v>
      </c>
      <c r="BA13" s="188">
        <f>SUBTOTAL(9,BA8:BA12)</f>
        <v>1618</v>
      </c>
      <c r="BB13" s="188">
        <f>SUBTOTAL(9,BB8:BB12)</f>
        <v>7173</v>
      </c>
      <c r="BC13" s="188">
        <f>SUBTOTAL(9,BC8:BC12)</f>
        <v>803</v>
      </c>
      <c r="BD13" s="209">
        <f>IF(ISNUMBER(BA13/AZ13),BA13/AZ13," - ")</f>
        <v>0.80297766749379651</v>
      </c>
      <c r="BE13" s="210">
        <f>IF(ISNUMBER(BB13/BA13),BB13/BA13, " - ")</f>
        <v>4.433250927070457</v>
      </c>
      <c r="BF13" s="210">
        <f>IF(ISNUMBER(BC13/BA13),BC13/BA13, " - ")</f>
        <v>0.49629171817058099</v>
      </c>
      <c r="BG13" s="211">
        <f>IF(ISNUMBER((AY13+AZ13)/BA13),(AY13+AZ13)/BA13," - ")</f>
        <v>5.4412855377008649</v>
      </c>
      <c r="BH13" s="144">
        <f>SUBTOTAL(9,BH8:BH12)</f>
        <v>8</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1804</v>
      </c>
      <c r="J16" s="187">
        <v>1834</v>
      </c>
      <c r="K16" s="187">
        <v>1662</v>
      </c>
      <c r="L16" s="187">
        <v>2012</v>
      </c>
      <c r="M16" s="187">
        <v>230</v>
      </c>
      <c r="N16" s="187">
        <v>964</v>
      </c>
      <c r="O16" s="185">
        <v>48</v>
      </c>
      <c r="P16" s="187">
        <v>80</v>
      </c>
      <c r="Q16" s="187">
        <v>81</v>
      </c>
      <c r="R16" s="187">
        <v>331</v>
      </c>
      <c r="S16" s="187">
        <v>1557</v>
      </c>
      <c r="T16" s="187">
        <v>1648</v>
      </c>
      <c r="U16" s="187">
        <v>1444</v>
      </c>
      <c r="V16" s="187">
        <v>1789</v>
      </c>
      <c r="W16" s="187">
        <v>224</v>
      </c>
      <c r="X16" s="193">
        <v>823</v>
      </c>
      <c r="Y16" s="206">
        <v>0</v>
      </c>
      <c r="Z16" s="187">
        <v>0</v>
      </c>
      <c r="AA16" s="187">
        <v>0</v>
      </c>
      <c r="AB16" s="187">
        <v>0</v>
      </c>
      <c r="AC16" s="187">
        <v>5</v>
      </c>
      <c r="AD16" s="187">
        <v>26</v>
      </c>
      <c r="AE16" s="187">
        <v>23</v>
      </c>
      <c r="AF16" s="193">
        <v>8</v>
      </c>
      <c r="AG16" s="206">
        <v>0</v>
      </c>
      <c r="AH16" s="187">
        <v>0</v>
      </c>
      <c r="AI16" s="187">
        <v>0</v>
      </c>
      <c r="AJ16" s="207">
        <v>0</v>
      </c>
      <c r="AK16" s="186">
        <v>26</v>
      </c>
      <c r="AL16" s="187">
        <v>34</v>
      </c>
      <c r="AM16" s="187">
        <v>36</v>
      </c>
      <c r="AN16" s="193">
        <v>24</v>
      </c>
      <c r="AO16" s="263">
        <v>8</v>
      </c>
      <c r="AP16" s="159">
        <v>8</v>
      </c>
      <c r="AQ16" s="159">
        <v>8</v>
      </c>
      <c r="AR16" s="159">
        <v>8</v>
      </c>
      <c r="AS16" s="349" t="s">
        <v>491</v>
      </c>
      <c r="AT16" s="207"/>
      <c r="AU16" s="206"/>
      <c r="AV16" s="207"/>
      <c r="AW16" s="206"/>
      <c r="AX16" s="207"/>
      <c r="AY16" s="127">
        <f t="shared" si="9"/>
        <v>1557</v>
      </c>
      <c r="AZ16" s="128">
        <f t="shared" si="9"/>
        <v>1648</v>
      </c>
      <c r="BA16" s="128">
        <f t="shared" si="9"/>
        <v>1444</v>
      </c>
      <c r="BB16" s="128">
        <f t="shared" si="9"/>
        <v>1789</v>
      </c>
      <c r="BC16" s="126">
        <f>IF(ISNUMBER(W16),W16," - ")</f>
        <v>224</v>
      </c>
      <c r="BD16" s="127">
        <f t="shared" ref="BD16" si="11">IF(ISNUMBER(BA16/AZ16),BA16/AZ16," - ")</f>
        <v>0.87621359223300976</v>
      </c>
      <c r="BE16" s="128">
        <f t="shared" ref="BE16" si="12">IF(ISNUMBER(BB16/BA16),BB16/BA16, " - ")</f>
        <v>1.2389196675900278</v>
      </c>
      <c r="BF16" s="128">
        <f t="shared" ref="BF16" si="13">IF(ISNUMBER(BC16/BA16),BC16/BA16, " - ")</f>
        <v>0.15512465373961218</v>
      </c>
      <c r="BG16" s="200">
        <f t="shared" si="10"/>
        <v>2.2195290858725762</v>
      </c>
      <c r="BH16" s="159">
        <v>7</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191</v>
      </c>
      <c r="J17" s="187">
        <v>122</v>
      </c>
      <c r="K17" s="187">
        <v>144</v>
      </c>
      <c r="L17" s="187">
        <v>169</v>
      </c>
      <c r="M17" s="187">
        <v>12</v>
      </c>
      <c r="N17" s="187">
        <v>93</v>
      </c>
      <c r="O17" s="187">
        <v>0</v>
      </c>
      <c r="P17" s="187">
        <v>0</v>
      </c>
      <c r="Q17" s="187">
        <v>0</v>
      </c>
      <c r="R17" s="187">
        <v>0</v>
      </c>
      <c r="S17" s="187">
        <v>153</v>
      </c>
      <c r="T17" s="187">
        <v>223</v>
      </c>
      <c r="U17" s="187">
        <v>177</v>
      </c>
      <c r="V17" s="187">
        <v>199</v>
      </c>
      <c r="W17" s="187">
        <v>7</v>
      </c>
      <c r="X17" s="193">
        <v>106</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153</v>
      </c>
      <c r="AZ17" s="130">
        <f t="shared" si="14"/>
        <v>223</v>
      </c>
      <c r="BA17" s="130">
        <f t="shared" si="14"/>
        <v>177</v>
      </c>
      <c r="BB17" s="130">
        <f t="shared" si="14"/>
        <v>199</v>
      </c>
      <c r="BC17" s="126">
        <f>IF(ISNUMBER(W17),W17," - ")</f>
        <v>7</v>
      </c>
      <c r="BD17" s="127">
        <f>IF(ISNUMBER(BA17/AZ17),BA17/AZ17," - ")</f>
        <v>0.79372197309417036</v>
      </c>
      <c r="BE17" s="128">
        <f>IF(ISNUMBER(BB17/BA17),BB17/BA17, " - ")</f>
        <v>1.1242937853107344</v>
      </c>
      <c r="BF17" s="128">
        <f>IF(ISNUMBER(BC17/BA17),BC17/BA17, " - ")</f>
        <v>3.954802259887006E-2</v>
      </c>
      <c r="BG17" s="200">
        <f>IF(ISNUMBER((AY17+AZ17)/BA17),(AY17+AZ17)/BA17," - ")</f>
        <v>2.1242937853107344</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1995</v>
      </c>
      <c r="J18" s="188">
        <f t="shared" si="15"/>
        <v>1956</v>
      </c>
      <c r="K18" s="188">
        <f t="shared" si="15"/>
        <v>1806</v>
      </c>
      <c r="L18" s="188">
        <f t="shared" si="15"/>
        <v>2181</v>
      </c>
      <c r="M18" s="188">
        <f t="shared" si="15"/>
        <v>242</v>
      </c>
      <c r="N18" s="188">
        <f t="shared" si="15"/>
        <v>1057</v>
      </c>
      <c r="O18" s="188">
        <f t="shared" si="15"/>
        <v>48</v>
      </c>
      <c r="P18" s="188">
        <f t="shared" si="15"/>
        <v>80</v>
      </c>
      <c r="Q18" s="188">
        <f t="shared" si="15"/>
        <v>81</v>
      </c>
      <c r="R18" s="188">
        <f t="shared" si="15"/>
        <v>331</v>
      </c>
      <c r="S18" s="188">
        <f t="shared" si="15"/>
        <v>1710</v>
      </c>
      <c r="T18" s="188">
        <f t="shared" si="15"/>
        <v>1871</v>
      </c>
      <c r="U18" s="188">
        <f t="shared" si="15"/>
        <v>1621</v>
      </c>
      <c r="V18" s="188">
        <f t="shared" si="15"/>
        <v>1988</v>
      </c>
      <c r="W18" s="188">
        <f t="shared" si="15"/>
        <v>231</v>
      </c>
      <c r="X18" s="188">
        <f t="shared" si="15"/>
        <v>929</v>
      </c>
      <c r="Y18" s="188">
        <f t="shared" si="15"/>
        <v>0</v>
      </c>
      <c r="Z18" s="188">
        <f t="shared" si="15"/>
        <v>0</v>
      </c>
      <c r="AA18" s="188">
        <f t="shared" si="15"/>
        <v>0</v>
      </c>
      <c r="AB18" s="188">
        <f t="shared" si="15"/>
        <v>0</v>
      </c>
      <c r="AC18" s="188">
        <f t="shared" si="15"/>
        <v>5</v>
      </c>
      <c r="AD18" s="188">
        <f t="shared" si="15"/>
        <v>26</v>
      </c>
      <c r="AE18" s="188">
        <f t="shared" si="15"/>
        <v>23</v>
      </c>
      <c r="AF18" s="188">
        <f t="shared" si="15"/>
        <v>8</v>
      </c>
      <c r="AG18" s="188">
        <f t="shared" si="15"/>
        <v>0</v>
      </c>
      <c r="AH18" s="188">
        <f t="shared" si="15"/>
        <v>0</v>
      </c>
      <c r="AI18" s="188">
        <f t="shared" si="15"/>
        <v>0</v>
      </c>
      <c r="AJ18" s="188">
        <f t="shared" si="15"/>
        <v>0</v>
      </c>
      <c r="AK18" s="188">
        <f t="shared" si="15"/>
        <v>26</v>
      </c>
      <c r="AL18" s="188">
        <f t="shared" si="15"/>
        <v>34</v>
      </c>
      <c r="AM18" s="188">
        <f t="shared" si="15"/>
        <v>36</v>
      </c>
      <c r="AN18" s="188">
        <f t="shared" si="15"/>
        <v>24</v>
      </c>
      <c r="AO18" s="188">
        <f t="shared" si="15"/>
        <v>9</v>
      </c>
      <c r="AP18" s="188">
        <f t="shared" si="15"/>
        <v>8</v>
      </c>
      <c r="AQ18" s="188">
        <f t="shared" si="15"/>
        <v>8</v>
      </c>
      <c r="AR18" s="188">
        <f t="shared" si="15"/>
        <v>8</v>
      </c>
      <c r="AS18" s="188">
        <f t="shared" si="15"/>
        <v>0</v>
      </c>
      <c r="AT18" s="188">
        <f t="shared" si="15"/>
        <v>0</v>
      </c>
      <c r="AU18" s="208"/>
      <c r="AV18" s="133"/>
      <c r="AW18" s="208"/>
      <c r="AX18" s="133"/>
      <c r="AY18" s="188">
        <f>SUBTOTAL(9,AY14:AY17)</f>
        <v>1710</v>
      </c>
      <c r="AZ18" s="188">
        <f>SUBTOTAL(9,AZ14:AZ17)</f>
        <v>1871</v>
      </c>
      <c r="BA18" s="188">
        <f>SUBTOTAL(9,BA14:BA17)</f>
        <v>1621</v>
      </c>
      <c r="BB18" s="188">
        <f>SUBTOTAL(9,BB14:BB17)</f>
        <v>1988</v>
      </c>
      <c r="BC18" s="188">
        <f>SUBTOTAL(9,BC14:BC17)</f>
        <v>231</v>
      </c>
      <c r="BD18" s="209">
        <f>IF(ISNUMBER(BA18/AZ18),BA18/AZ18," - ")</f>
        <v>0.86638161411010151</v>
      </c>
      <c r="BE18" s="210">
        <f>IF(ISNUMBER(BB18/BA18),BB18/BA18, " - ")</f>
        <v>1.2264034546576188</v>
      </c>
      <c r="BF18" s="210">
        <f>IF(ISNUMBER(BC18/BA18),BC18/BA18, " - ")</f>
        <v>0.14250462677359654</v>
      </c>
      <c r="BG18" s="211">
        <f>IF(ISNUMBER((AY18+AZ18)/BA18),(AY18+AZ18)/BA18," - ")</f>
        <v>2.2091301665638494</v>
      </c>
      <c r="BH18" s="188">
        <f>SUBTOTAL(9,BH14:BH17)</f>
        <v>8</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9351</v>
      </c>
      <c r="J19" s="135">
        <f t="shared" si="18"/>
        <v>3821</v>
      </c>
      <c r="K19" s="135">
        <f t="shared" si="18"/>
        <v>3558</v>
      </c>
      <c r="L19" s="135">
        <f t="shared" si="18"/>
        <v>9539</v>
      </c>
      <c r="M19" s="135">
        <f t="shared" si="18"/>
        <v>482</v>
      </c>
      <c r="N19" s="135">
        <f t="shared" si="18"/>
        <v>2118</v>
      </c>
      <c r="O19" s="135">
        <f t="shared" si="18"/>
        <v>744</v>
      </c>
      <c r="P19" s="135">
        <f t="shared" si="18"/>
        <v>410</v>
      </c>
      <c r="Q19" s="135">
        <f t="shared" si="18"/>
        <v>354</v>
      </c>
      <c r="R19" s="135">
        <f t="shared" si="18"/>
        <v>8116</v>
      </c>
      <c r="S19" s="135">
        <f t="shared" si="18"/>
        <v>7982</v>
      </c>
      <c r="T19" s="135">
        <f t="shared" si="18"/>
        <v>3509</v>
      </c>
      <c r="U19" s="135">
        <f t="shared" si="18"/>
        <v>2939</v>
      </c>
      <c r="V19" s="135">
        <f t="shared" si="18"/>
        <v>8568</v>
      </c>
      <c r="W19" s="135">
        <f t="shared" si="18"/>
        <v>475</v>
      </c>
      <c r="X19" s="135">
        <f t="shared" si="18"/>
        <v>1730</v>
      </c>
      <c r="Y19" s="135">
        <f t="shared" si="18"/>
        <v>468</v>
      </c>
      <c r="Z19" s="135">
        <f t="shared" si="18"/>
        <v>202</v>
      </c>
      <c r="AA19" s="135">
        <f t="shared" si="18"/>
        <v>258</v>
      </c>
      <c r="AB19" s="135">
        <f t="shared" si="18"/>
        <v>412</v>
      </c>
      <c r="AC19" s="135">
        <f t="shared" si="18"/>
        <v>5</v>
      </c>
      <c r="AD19" s="135">
        <f t="shared" si="18"/>
        <v>26</v>
      </c>
      <c r="AE19" s="135">
        <f t="shared" si="18"/>
        <v>23</v>
      </c>
      <c r="AF19" s="135">
        <f t="shared" si="18"/>
        <v>8</v>
      </c>
      <c r="AG19" s="135">
        <f t="shared" si="18"/>
        <v>517</v>
      </c>
      <c r="AH19" s="135">
        <f t="shared" si="18"/>
        <v>377</v>
      </c>
      <c r="AI19" s="135">
        <f t="shared" si="18"/>
        <v>300</v>
      </c>
      <c r="AJ19" s="135">
        <f t="shared" si="18"/>
        <v>593</v>
      </c>
      <c r="AK19" s="135">
        <f t="shared" si="18"/>
        <v>26</v>
      </c>
      <c r="AL19" s="135">
        <f t="shared" si="18"/>
        <v>34</v>
      </c>
      <c r="AM19" s="135">
        <f t="shared" si="18"/>
        <v>36</v>
      </c>
      <c r="AN19" s="214">
        <f t="shared" si="18"/>
        <v>24</v>
      </c>
      <c r="AO19" s="215">
        <v>9</v>
      </c>
      <c r="AP19" s="215">
        <v>8</v>
      </c>
      <c r="AQ19" s="215">
        <v>8</v>
      </c>
      <c r="AR19" s="215">
        <v>8</v>
      </c>
      <c r="AS19" s="157">
        <f t="shared" si="18"/>
        <v>0</v>
      </c>
      <c r="AT19" s="157">
        <f t="shared" si="18"/>
        <v>0</v>
      </c>
      <c r="AU19" s="215"/>
      <c r="AV19" s="216"/>
      <c r="AW19" s="215"/>
      <c r="AX19" s="216"/>
      <c r="AY19" s="134">
        <f>SUBTOTAL(9,AY9:AY18)</f>
        <v>8499</v>
      </c>
      <c r="AZ19" s="135">
        <f>SUBTOTAL(9,AZ9:AZ18)</f>
        <v>3886</v>
      </c>
      <c r="BA19" s="135">
        <f>SUBTOTAL(9,BA9:BA18)</f>
        <v>3239</v>
      </c>
      <c r="BB19" s="135">
        <f>SUBTOTAL(9,BB9:BB18)</f>
        <v>9161</v>
      </c>
      <c r="BC19" s="136">
        <f>SUBTOTAL(9,BC9:BC18)</f>
        <v>1034</v>
      </c>
      <c r="BD19" s="217">
        <f>IF(ISNUMBER(BA19/AZ19),BA19/AZ19," - ")</f>
        <v>0.83350488934637157</v>
      </c>
      <c r="BE19" s="214">
        <f>IF(ISNUMBER(BB19/BA19),BB19/BA19, " - ")</f>
        <v>2.8283420808891635</v>
      </c>
      <c r="BF19" s="214">
        <f>IF(ISNUMBER(BC19/BA19),BC19/BA19, " - ")</f>
        <v>0.31923433158382214</v>
      </c>
      <c r="BG19" s="136">
        <f>IF(ISNUMBER((AY19+AZ19)/BA19),(AY19+AZ19)/BA19," - ")</f>
        <v>3.8237110219203458</v>
      </c>
      <c r="BH19" s="215">
        <f>SUBTOTAL(9,BH9:BH18)</f>
        <v>16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nwI+EvCaG66a3TQ57fil2FsBkIWigP+SrzqRCyRTlTtmx3EitRaW6qardXdGL2UcDoJ/H7wZFMdU5Ucsk/adDA==" saltValue="od9nn9A/QBegVNMCpM0IC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PvLjTuU0or0YgZhRdxXrus6GM0ecCL9rGuAIYk6grqCWcqL4JQG89yR2q/e+/xPkgDO6yozg9SKIAxVYnYuKhQ==" saltValue="W+Rt5rLkuW87ECfSfETzv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MADRID</v>
      </c>
      <c r="F1" s="531"/>
    </row>
    <row r="2" spans="1:74" ht="16.5" customHeight="1">
      <c r="C2" s="520" t="str">
        <f>Criterios!A10 &amp;"  "&amp;Criterios!B10 &amp; "  " &amp; IF(NOT(ISBLANK(Criterios!A11)),Criterios!A11 &amp;"  "&amp;Criterios!B11,"")</f>
        <v>Provincias  MADRID  Resumenes por Partidos Judiciales  NAVALCARNERO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74</v>
      </c>
      <c r="G10" s="497">
        <f>IF(ISNUMBER(Datos!I10),Datos!I10," - ")</f>
        <v>74</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8</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22</v>
      </c>
      <c r="AC10" s="501">
        <f>IF(ISNUMBER(Datos!Q10),Datos!Q10," - ")</f>
        <v>11</v>
      </c>
      <c r="AD10" s="503"/>
      <c r="AE10" s="516"/>
      <c r="AF10" s="505">
        <f>IF(ISNUMBER(Datos!L10),Datos!L10,"-")</f>
        <v>77</v>
      </c>
      <c r="AG10" s="503"/>
      <c r="AH10" s="503"/>
      <c r="AI10" s="503"/>
      <c r="AJ10" s="503"/>
      <c r="AK10" s="503"/>
      <c r="AL10" s="504"/>
      <c r="AM10" s="671">
        <f>IF(ISNUMBER(Datos!R10),Datos!R10," - ")</f>
        <v>85</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9</v>
      </c>
      <c r="BD10" s="619">
        <f>IF(ISNUMBER(Datos!N10),Datos!N10," - ")</f>
        <v>13</v>
      </c>
      <c r="BE10" s="619" t="str">
        <f>IF(ISNUMBER(Datos!BW10),Datos!BW10," - ")</f>
        <v xml:space="preserve"> - </v>
      </c>
      <c r="BF10" s="667" t="str">
        <f>IF(ISNUMBER(Datos!BX10),Datos!BX10," - ")</f>
        <v xml:space="preserve"> - </v>
      </c>
      <c r="BG10" s="668">
        <f>IF(ISNUMBER(Datos!K10/Datos!J10),Datos!K10/Datos!J10," - ")</f>
        <v>0.88</v>
      </c>
      <c r="BH10" s="669">
        <f>IF(ISNUMBER(((Datos!L10/Datos!K10)*11)/factor_trimestre),((Datos!L10/Datos!K10)*11)/factor_trimestre," - ")</f>
        <v>7</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-3.4090909090909088E-2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8</v>
      </c>
      <c r="B12" s="653" t="s">
        <v>249</v>
      </c>
      <c r="C12" s="654" t="str">
        <f>Datos!A12</f>
        <v xml:space="preserve">Jdos. 1ª Instª. e Instr.                        </v>
      </c>
      <c r="D12" s="548"/>
      <c r="E12" s="669">
        <f>IF(ISNUMBER(Datos!AQ12),Datos!AQ12," - ")</f>
        <v>8</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202</v>
      </c>
      <c r="O12" s="503"/>
      <c r="P12" s="503"/>
      <c r="Q12" s="501">
        <f>IF(ISNUMBER(Datos!P12),Datos!P12,0)</f>
        <v>322</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262</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412</v>
      </c>
      <c r="AI12" s="503" t="str">
        <f>IF(ISNUMBER(Datos!CD12),Datos!CD12,"-")</f>
        <v>-</v>
      </c>
      <c r="AJ12" s="503" t="str">
        <f>IF(ISNUMBER(Datos!EN12),Datos!EN12," - ")</f>
        <v xml:space="preserve"> - </v>
      </c>
      <c r="AK12" s="503"/>
      <c r="AL12" s="504"/>
      <c r="AM12" s="671">
        <f>IF(ISNUMBER(Datos!R12),Datos!R12," - ")</f>
        <v>7700</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231</v>
      </c>
      <c r="BD12" s="619">
        <f>IF(ISNUMBER(Datos!N12),Datos!N12," - ")</f>
        <v>1048</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0.97355533790401572</v>
      </c>
      <c r="BH12" s="669">
        <f>IF(ISNUMBER(((IF(J_V="SI",Datos!L12/Datos!K12,(Datos!L12+Datos!AB12)/(Datos!K12+Datos!AA12)))*11)/factor_trimestre),((IF(J_V="SI",Datos!L12/Datos!K12,(Datos!L12+Datos!AB12)/(Datos!K12+Datos!AA12)))*11)/factor_trimestre," - ")</f>
        <v>7.73943661971831</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7.8534031413612562E-3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8</v>
      </c>
      <c r="F13" s="1044">
        <f t="shared" si="0"/>
        <v>74</v>
      </c>
      <c r="G13" s="1044">
        <f t="shared" si="0"/>
        <v>74</v>
      </c>
      <c r="H13" s="1045">
        <f t="shared" si="0"/>
        <v>0</v>
      </c>
      <c r="I13" s="1044">
        <f t="shared" si="0"/>
        <v>0</v>
      </c>
      <c r="J13" s="1013">
        <f t="shared" si="0"/>
        <v>0</v>
      </c>
      <c r="K13" s="1013">
        <f t="shared" si="0"/>
        <v>0</v>
      </c>
      <c r="L13" s="1045">
        <f t="shared" si="0"/>
        <v>0</v>
      </c>
      <c r="M13" s="1045">
        <f t="shared" si="0"/>
        <v>0</v>
      </c>
      <c r="N13" s="1045">
        <f t="shared" si="0"/>
        <v>202</v>
      </c>
      <c r="O13" s="1046">
        <f t="shared" si="0"/>
        <v>0</v>
      </c>
      <c r="P13" s="1046">
        <f t="shared" si="0"/>
        <v>0</v>
      </c>
      <c r="Q13" s="1045">
        <f t="shared" si="0"/>
        <v>330</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22</v>
      </c>
      <c r="AC13" s="1045">
        <f t="shared" si="1"/>
        <v>273</v>
      </c>
      <c r="AD13" s="1045">
        <f t="shared" si="1"/>
        <v>0</v>
      </c>
      <c r="AE13" s="1045">
        <f t="shared" si="1"/>
        <v>0</v>
      </c>
      <c r="AF13" s="1045">
        <f t="shared" si="1"/>
        <v>77</v>
      </c>
      <c r="AG13" s="1045">
        <f t="shared" si="1"/>
        <v>0</v>
      </c>
      <c r="AH13" s="1045">
        <f t="shared" si="1"/>
        <v>412</v>
      </c>
      <c r="AI13" s="1045">
        <f t="shared" si="1"/>
        <v>0</v>
      </c>
      <c r="AJ13" s="1045">
        <f t="shared" si="1"/>
        <v>0</v>
      </c>
      <c r="AK13" s="1045">
        <f t="shared" si="1"/>
        <v>0</v>
      </c>
      <c r="AL13" s="1045">
        <f t="shared" si="1"/>
        <v>0</v>
      </c>
      <c r="AM13" s="1045">
        <f t="shared" si="1"/>
        <v>7785</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240</v>
      </c>
      <c r="BD13" s="1045">
        <f t="shared" si="1"/>
        <v>1061</v>
      </c>
      <c r="BE13" s="1045">
        <f t="shared" si="1"/>
        <v>0</v>
      </c>
      <c r="BF13" s="1045">
        <f t="shared" si="1"/>
        <v>0</v>
      </c>
      <c r="BG13" s="1045">
        <f>IF(ISNUMBER(Datos!K13/Datos!J13),Datos!K13/Datos!J13," - ")</f>
        <v>0.93941018766756035</v>
      </c>
      <c r="BH13" s="1049">
        <f>IF(ISNUMBER(((Datos!L13/Datos!K13)*11)/factor_trimestre),((Datos!L13/Datos!K13)*11)/factor_trimestre," - ")</f>
        <v>8.3995433789954337</v>
      </c>
      <c r="BI13" s="1045">
        <f>IF(ISNUMBER('Resol  Asuntos'!D13/NºAsuntos!G13),'Resol  Asuntos'!D13/NºAsuntos!G13," - ")</f>
        <v>0.11940298507462686</v>
      </c>
      <c r="BJ13" s="1045" t="str">
        <f>IF(ISNUMBER(Datos!CI13/Datos!CJ13),Datos!CI13/Datos!CJ13," - ")</f>
        <v xml:space="preserve"> - </v>
      </c>
      <c r="BK13" s="1045">
        <f>SUBTOTAL(9,BK8:BK12)</f>
        <v>0</v>
      </c>
      <c r="BL13" s="1045">
        <f>IF(ISNUMBER((I13-AB13+L13)/(F13)),(I13-AB13+L13)/(F13)," - ")</f>
        <v>-0.29729729729729731</v>
      </c>
      <c r="BM13" s="1050">
        <f>SUBTOTAL(9,BM9:BM12)</f>
        <v>-2.623750594954783E-2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8</v>
      </c>
      <c r="B16" s="646" t="s">
        <v>400</v>
      </c>
      <c r="C16" s="656" t="str">
        <f>Datos!A16</f>
        <v xml:space="preserve">Jdos. 1ª Instª. e Instr.                        </v>
      </c>
      <c r="D16" s="657"/>
      <c r="E16" s="1330">
        <f>IF(ISNUMBER(Datos!AQ16),Datos!AQ16," - ")</f>
        <v>8</v>
      </c>
      <c r="F16" s="647">
        <f>IF(ISNUMBER(AF16+AB16-Datos!J16-L16),AF16+AB16-Datos!J16-L16," - ")</f>
        <v>1840</v>
      </c>
      <c r="G16" s="650">
        <f>IF(ISNUMBER(IF(D_I="SI",Datos!I16,Datos!I16+Datos!AC16)),IF(D_I="SI",Datos!I16,Datos!I16+Datos!AC16)," - ")</f>
        <v>1804</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80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1662</v>
      </c>
      <c r="AC16" s="230">
        <f>IF(ISNUMBER(Datos!Q16),Datos!Q16," - ")</f>
        <v>81</v>
      </c>
      <c r="AD16" s="343"/>
      <c r="AE16" s="515"/>
      <c r="AF16" s="648">
        <f>IF(ISNUMBER(IF(D_I="SI",Datos!L16,Datos!L16+Datos!AF16)),IF(D_I="SI",Datos!L16,Datos!L16+Datos!AF16)," - ")</f>
        <v>2012</v>
      </c>
      <c r="AG16" s="343"/>
      <c r="AH16" s="343"/>
      <c r="AI16" s="343"/>
      <c r="AJ16" s="503"/>
      <c r="AK16" s="343"/>
      <c r="AL16" s="499"/>
      <c r="AM16" s="344">
        <f>IF(ISNUMBER(Datos!R16),Datos!R16," - ")</f>
        <v>331</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230</v>
      </c>
      <c r="BD16" s="233">
        <f>IF(ISNUMBER(Datos!N16),Datos!N16," - ")</f>
        <v>964</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0.90621592148309704</v>
      </c>
      <c r="BH16" s="669">
        <f>IF(ISNUMBER(((IF(D_I="SI",Datos!L16/Datos!K16,(Datos!L16+Datos!AF16)/(Datos!K16+Datos!AE16)))*11)/factor_trimestre),((IF(D_I="SI",Datos!L16/Datos!K16,(Datos!L16+Datos!AF16)/(Datos!K16+Datos!AE16)))*11)/factor_trimestre," - ")</f>
        <v>2.421179302045728</v>
      </c>
      <c r="BI16" s="247">
        <f>IF(ISNUMBER('Resol  Asuntos'!D16/NºAsuntos!G16),'Resol  Asuntos'!D16/NºAsuntos!G16," - ")</f>
        <v>0.13838748495788206</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191</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144</v>
      </c>
      <c r="AC17" s="501">
        <f>IF(ISNUMBER(Datos!Q17),Datos!Q17," - ")</f>
        <v>0</v>
      </c>
      <c r="AD17" s="503"/>
      <c r="AE17" s="515"/>
      <c r="AF17" s="505">
        <f>IF(ISNUMBER(Datos!L17),Datos!L17,"-")</f>
        <v>169</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12</v>
      </c>
      <c r="BD17" s="619">
        <f>IF(ISNUMBER(Datos!N17),Datos!N17," - ")</f>
        <v>93</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1.180327868852459</v>
      </c>
      <c r="BH17" s="669">
        <f>IF(ISNUMBER(((IF(D_I="SI",Datos!L17/Datos!K17,(Datos!L17+Datos!AF17)/(Datos!K17+Datos!AE17)))*11)/factor_trimestre),((IF(D_I="SI",Datos!L17/Datos!K17,(Datos!L17+Datos!AF17)/(Datos!K17+Datos!AE17)))*11)/factor_trimestre," - ")</f>
        <v>2.3472222222222223</v>
      </c>
      <c r="BI17" s="668">
        <f>IF(ISNUMBER('Resol  Asuntos'!D17/NºAsuntos!G17),'Resol  Asuntos'!D17/NºAsuntos!G17," - ")</f>
        <v>8.3333333333333329E-2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8</v>
      </c>
      <c r="F18" s="1044">
        <f>SUBTOTAL(9,F15:F17)</f>
        <v>1840</v>
      </c>
      <c r="G18" s="1044">
        <f>SUBTOTAL(9,G15:G17)</f>
        <v>1995</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80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1806</v>
      </c>
      <c r="AC18" s="1045">
        <f t="shared" si="4"/>
        <v>81</v>
      </c>
      <c r="AD18" s="1045">
        <f t="shared" si="4"/>
        <v>0</v>
      </c>
      <c r="AE18" s="1045">
        <f t="shared" si="4"/>
        <v>0</v>
      </c>
      <c r="AF18" s="1045">
        <f t="shared" si="4"/>
        <v>2181</v>
      </c>
      <c r="AG18" s="1045">
        <f t="shared" si="4"/>
        <v>0</v>
      </c>
      <c r="AH18" s="1045">
        <f t="shared" si="4"/>
        <v>0</v>
      </c>
      <c r="AI18" s="1045">
        <f t="shared" si="4"/>
        <v>0</v>
      </c>
      <c r="AJ18" s="1045">
        <f t="shared" si="4"/>
        <v>0</v>
      </c>
      <c r="AK18" s="1045">
        <f t="shared" si="4"/>
        <v>0</v>
      </c>
      <c r="AL18" s="1045">
        <f t="shared" si="4"/>
        <v>0</v>
      </c>
      <c r="AM18" s="1045">
        <f t="shared" si="4"/>
        <v>331</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242</v>
      </c>
      <c r="BD18" s="1045">
        <f t="shared" si="4"/>
        <v>1057</v>
      </c>
      <c r="BE18" s="1045">
        <f t="shared" si="4"/>
        <v>0</v>
      </c>
      <c r="BF18" s="1045">
        <f t="shared" si="4"/>
        <v>0</v>
      </c>
      <c r="BG18" s="1045">
        <f>IF(ISNUMBER(Datos!K18/Datos!J18),Datos!K18/Datos!J18," - ")</f>
        <v>0.92331288343558282</v>
      </c>
      <c r="BH18" s="1049">
        <f>IF(ISNUMBER(((Datos!L18/Datos!K18)*11)/factor_trimestre),((Datos!L18/Datos!K18)*11)/factor_trimestre," - ")</f>
        <v>2.4152823920265782</v>
      </c>
      <c r="BI18" s="1045">
        <f>SUBTOTAL(9,BI15:BI17)</f>
        <v>0.22172081829121537</v>
      </c>
      <c r="BJ18" s="1045">
        <f>SUBTOTAL(9,BJ15:BJ17)</f>
        <v>0</v>
      </c>
      <c r="BK18" s="1045">
        <f>SUBTOTAL(9,BK15:BK17)</f>
        <v>0</v>
      </c>
      <c r="BL18" s="1045">
        <f>IF(ISNUMBER((I18-AB18+L18)/(F18)),(I18-AB18+L18)/(F18)," - ")</f>
        <v>-0.98152173913043483</v>
      </c>
      <c r="BM18" s="1051">
        <f>IF(ISNUMBER((Datos!P18-Datos!Q18)/(Datos!R18-Datos!P18+Datos!Q18)),(Datos!P18-Datos!Q18)/(Datos!R18-Datos!P18+Datos!Q18)," - ")</f>
        <v>-3.0120481927710845E-3</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16</v>
      </c>
      <c r="F19" s="966">
        <f t="shared" si="6"/>
        <v>1914</v>
      </c>
      <c r="G19" s="966">
        <f t="shared" si="6"/>
        <v>2069</v>
      </c>
      <c r="H19" s="968">
        <f t="shared" si="6"/>
        <v>0</v>
      </c>
      <c r="I19" s="966">
        <f t="shared" si="6"/>
        <v>0</v>
      </c>
      <c r="J19" s="968">
        <f t="shared" si="6"/>
        <v>0</v>
      </c>
      <c r="K19" s="968">
        <f t="shared" si="6"/>
        <v>0</v>
      </c>
      <c r="L19" s="1027">
        <f t="shared" si="6"/>
        <v>0</v>
      </c>
      <c r="M19" s="1027">
        <f t="shared" si="6"/>
        <v>0</v>
      </c>
      <c r="N19" s="1027">
        <f t="shared" si="6"/>
        <v>202</v>
      </c>
      <c r="O19" s="1027">
        <f t="shared" si="6"/>
        <v>0</v>
      </c>
      <c r="P19" s="1027">
        <f t="shared" si="6"/>
        <v>0</v>
      </c>
      <c r="Q19" s="968">
        <f t="shared" si="6"/>
        <v>410</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1828</v>
      </c>
      <c r="AC19" s="967">
        <f t="shared" si="7"/>
        <v>354</v>
      </c>
      <c r="AD19" s="967">
        <f t="shared" si="7"/>
        <v>0</v>
      </c>
      <c r="AE19" s="967">
        <f t="shared" si="7"/>
        <v>0</v>
      </c>
      <c r="AF19" s="974">
        <f t="shared" si="7"/>
        <v>2258</v>
      </c>
      <c r="AG19" s="974">
        <f t="shared" si="7"/>
        <v>0</v>
      </c>
      <c r="AH19" s="974">
        <f t="shared" si="7"/>
        <v>412</v>
      </c>
      <c r="AI19" s="974">
        <f t="shared" si="7"/>
        <v>0</v>
      </c>
      <c r="AJ19" s="967">
        <f t="shared" si="7"/>
        <v>0</v>
      </c>
      <c r="AK19" s="974">
        <f t="shared" si="7"/>
        <v>0</v>
      </c>
      <c r="AL19" s="974">
        <f t="shared" si="7"/>
        <v>0</v>
      </c>
      <c r="AM19" s="974">
        <f t="shared" si="7"/>
        <v>8116</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482</v>
      </c>
      <c r="BD19" s="966">
        <f t="shared" si="7"/>
        <v>2118</v>
      </c>
      <c r="BE19" s="966">
        <f t="shared" si="7"/>
        <v>0</v>
      </c>
      <c r="BF19" s="976">
        <f t="shared" si="7"/>
        <v>0</v>
      </c>
      <c r="BG19" s="1061">
        <f>IF(ISNUMBER(Datos!K19/Datos!J19),Datos!K19/Datos!J19," - ")</f>
        <v>0.93116985082439152</v>
      </c>
      <c r="BH19" s="1061">
        <f>IF(ISNUMBER(((Datos!L19/Datos!K19)*11)/factor_trimestre),((Datos!L19/Datos!K19)*11)/factor_trimestre," - ")</f>
        <v>5.3620011242270937</v>
      </c>
      <c r="BI19" s="959">
        <f>IF(ISNUMBER(Datos!J19/Datos!I19),Datos!J19/Datos!I19," - ")</f>
        <v>0.40861939899475991</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-0.95506792058516199</v>
      </c>
      <c r="BM19" s="1035">
        <f>IF(ISNUMBER((Datos!P19-Datos!Q19+R19)/(Datos!R19-Datos!P19+Datos!Q19-R19)),(Datos!P19-Datos!Q19+R19)/(Datos!R19-Datos!P19+Datos!Q19-R19)," - ")</f>
        <v>6.9478908188585608E-3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827.6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4.2163702135578394</v>
      </c>
      <c r="F21" s="599">
        <f>IF(ISNUMBER(STDEV(F8:F18)),STDEV(F8:F18),"-")</f>
        <v>1019.6005753888791</v>
      </c>
      <c r="G21" s="600">
        <f>IF(ISNUMBER(STDEV(G8:G18)),STDEV(G8:G18),"-")</f>
        <v>981.99607942190892</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918.19344367077679</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116.41935692429618</v>
      </c>
      <c r="BD21" s="599"/>
      <c r="BE21" s="599">
        <f>IF(ISNUMBER(STDEV(BE8:BE18)),STDEV(BE8:BE18),"-")</f>
        <v>0</v>
      </c>
      <c r="BF21" s="604">
        <f>IF(ISNUMBER(STDEV(BF8:BF18)),STDEV(BF8:BF18),"-")</f>
        <v>0</v>
      </c>
      <c r="BG21" s="914">
        <f>IF(ISNUMBER(STDEV(BG8:BG18)),STDEV(BG8:BG18),"-")</f>
        <v>0.10907346653970709</v>
      </c>
      <c r="BH21" s="918">
        <f>IF(ISNUMBER(STDEV(BH8:BH18)),STDEV(BH8:BH18),"-")</f>
        <v>2.9466037202929329</v>
      </c>
      <c r="BI21" s="253">
        <f>IF(ISNUMBER(STDEV(BI8:BI18)),STDEV(BI8:BI18),"-")</f>
        <v>5.8635079130162096E-2</v>
      </c>
      <c r="BJ21" s="234" t="str">
        <f>IF(ISNUMBER(BL21/BM21),BL21/BM21," - ")</f>
        <v xml:space="preserve"> - </v>
      </c>
      <c r="BK21" s="626"/>
      <c r="BL21" s="607">
        <f>IF(ISNUMBER(STDEV(BL8:BL18)),STDEV(BL8:BL18),"-")</f>
        <v>0.48381974267379213</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vvm3o6ovyoG9uq6tRkIHLsCKRB8VmPBJRJN9H5iBJM9fWRmscDTf8tRnZxsbe1p0E4JkNiwxhp+V9QW+dvabSA==" saltValue="xxG6eiEQSUt3+CNubXNB5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MADRID</v>
      </c>
    </row>
    <row r="2" spans="1:73" ht="16.5" customHeight="1">
      <c r="C2" s="574" t="str">
        <f>Criterios!A10 &amp;"  "&amp;Criterios!B10 &amp; "  " &amp; IF(NOT(ISBLANK(Criterios!A11)),Criterios!A11 &amp;"  "&amp;Criterios!B11,"")</f>
        <v>Provincias  MADRID  Resumenes por Partidos Judiciales  NAVALCARNERO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74</v>
      </c>
      <c r="G10" s="506">
        <f>IF(ISNUMBER(Datos!I10),Datos!I10," - ")</f>
        <v>74</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8</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22</v>
      </c>
      <c r="Z10" s="703">
        <f>IF(ISNUMBER(Datos!Q10),Datos!Q10," - ")</f>
        <v>11</v>
      </c>
      <c r="AA10" s="505">
        <f>IF(ISNUMBER(Datos!L10),Datos!L10,"-")</f>
        <v>77</v>
      </c>
      <c r="AB10" s="503"/>
      <c r="AC10" s="503"/>
      <c r="AD10" s="516"/>
      <c r="AE10" s="516">
        <f>IF(ISNUMBER(Datos!R10),Datos!R10," - ")</f>
        <v>85</v>
      </c>
      <c r="AF10" s="619" t="str">
        <f>IF(ISNUMBER(Datos!BV10),Datos!BV10," - ")</f>
        <v xml:space="preserve"> - </v>
      </c>
      <c r="AG10" s="506" t="str">
        <f>IF(ISNUMBER(Datos!DV10),Datos!DV10," - ")</f>
        <v xml:space="preserve"> - </v>
      </c>
      <c r="AH10" s="507"/>
      <c r="AI10" s="508"/>
      <c r="AJ10" s="506">
        <f>IF(ISNUMBER(Datos!M10),Datos!M10," - ")</f>
        <v>9</v>
      </c>
      <c r="AK10" s="619">
        <f>IF(ISNUMBER(Datos!N10),Datos!N10," - ")</f>
        <v>13</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7</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-3.4090909090909088E-2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8</v>
      </c>
      <c r="B12" s="653" t="s">
        <v>249</v>
      </c>
      <c r="C12" s="654" t="str">
        <f>Datos!A12</f>
        <v xml:space="preserve">Jdos. 1ª Instª. e Instr.                        </v>
      </c>
      <c r="D12" s="548"/>
      <c r="E12" s="1333">
        <f>IF(ISNUMBER(Datos!AQ12),Datos!AQ12," - ")</f>
        <v>8</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322</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262</v>
      </c>
      <c r="AA12" s="505" t="str">
        <f>IF(ISNUMBER(IF(J_V="SI",Datos!L12,Datos!L12+Datos!AB12)-IF(Monitorios="SI",Datos!CD12,0)),
                          IF(J_V="SI",Datos!L12,Datos!L12+Datos!AB12)-IF(Monitorios="SI",Datos!CD12,0),
                          " - ")</f>
        <v xml:space="preserve"> - </v>
      </c>
      <c r="AB12" s="503"/>
      <c r="AC12" s="503"/>
      <c r="AD12" s="516"/>
      <c r="AE12" s="516">
        <f>IF(ISNUMBER(Datos!R12),Datos!R12," - ")</f>
        <v>7700</v>
      </c>
      <c r="AF12" s="619" t="str">
        <f>IF(ISNUMBER(Datos!BV12),Datos!BV12," - ")</f>
        <v xml:space="preserve"> - </v>
      </c>
      <c r="AG12" s="506" t="str">
        <f>IF(ISNUMBER(Datos!DV12),Datos!DV12," - ")</f>
        <v xml:space="preserve"> - </v>
      </c>
      <c r="AH12" s="507"/>
      <c r="AI12" s="508"/>
      <c r="AJ12" s="506">
        <f>IF(ISNUMBER(Datos!M12),Datos!M12," - ")</f>
        <v>231</v>
      </c>
      <c r="AK12" s="619">
        <f>IF(ISNUMBER(Datos!N12),Datos!N12," - ")</f>
        <v>1048</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7.73943661971831</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7.8534031413612562E-3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8</v>
      </c>
      <c r="F13" s="1044">
        <f>SUBTOTAL(9,F8:F12)</f>
        <v>74</v>
      </c>
      <c r="G13" s="1044">
        <f>SUBTOTAL(9,G8:G12)</f>
        <v>74</v>
      </c>
      <c r="H13" s="1054"/>
      <c r="I13" s="1044">
        <f t="shared" ref="I13:N13" si="0">SUBTOTAL(9,I8:I12)</f>
        <v>0</v>
      </c>
      <c r="J13" s="1013">
        <f t="shared" si="0"/>
        <v>0</v>
      </c>
      <c r="K13" s="1054">
        <f t="shared" si="0"/>
        <v>0</v>
      </c>
      <c r="L13" s="1054">
        <f t="shared" si="0"/>
        <v>0</v>
      </c>
      <c r="M13" s="1054">
        <f t="shared" si="0"/>
        <v>0</v>
      </c>
      <c r="N13" s="1054">
        <f t="shared" si="0"/>
        <v>330</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22</v>
      </c>
      <c r="Z13" s="1053">
        <f t="shared" si="2"/>
        <v>273</v>
      </c>
      <c r="AA13" s="1046">
        <f t="shared" si="2"/>
        <v>77</v>
      </c>
      <c r="AB13" s="1046">
        <f t="shared" si="2"/>
        <v>0</v>
      </c>
      <c r="AC13" s="1046">
        <f t="shared" si="2"/>
        <v>0</v>
      </c>
      <c r="AD13" s="1046">
        <f t="shared" si="2"/>
        <v>0</v>
      </c>
      <c r="AE13" s="1046">
        <f t="shared" si="2"/>
        <v>7785</v>
      </c>
      <c r="AF13" s="1054">
        <f t="shared" si="2"/>
        <v>0</v>
      </c>
      <c r="AG13" s="1054">
        <f t="shared" si="2"/>
        <v>0</v>
      </c>
      <c r="AH13" s="1054">
        <f t="shared" si="2"/>
        <v>0</v>
      </c>
      <c r="AI13" s="1054">
        <f t="shared" si="2"/>
        <v>0</v>
      </c>
      <c r="AJ13" s="1054">
        <f t="shared" si="2"/>
        <v>240</v>
      </c>
      <c r="AK13" s="1054">
        <f t="shared" si="2"/>
        <v>1061</v>
      </c>
      <c r="AL13" s="1054">
        <f t="shared" si="2"/>
        <v>0</v>
      </c>
      <c r="AM13" s="1054">
        <f t="shared" si="2"/>
        <v>0</v>
      </c>
      <c r="AN13" s="1054">
        <f t="shared" si="2"/>
        <v>0</v>
      </c>
      <c r="AO13" s="1050">
        <f>IF(ISNUMBER(((NºAsuntos!I13/NºAsuntos!G13)*11)/factor_trimestre),((NºAsuntos!I13/NºAsuntos!G13)*11)/factor_trimestre," - ")</f>
        <v>7.7313432835820892</v>
      </c>
      <c r="AP13" s="1056" t="str">
        <f>IF(ISNUMBER(Datos!CI13/Datos!CJ13),Datos!CI13/Datos!CJ13," - ")</f>
        <v xml:space="preserve"> - </v>
      </c>
      <c r="AQ13" s="1074">
        <f t="shared" ref="AQ13:AV13" si="3">SUBTOTAL(9,AQ9:AQ12)</f>
        <v>0</v>
      </c>
      <c r="AR13" s="1074">
        <f t="shared" si="3"/>
        <v>-2.623750594954783E-2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8</v>
      </c>
      <c r="B16" s="653" t="s">
        <v>400</v>
      </c>
      <c r="C16" s="670" t="str">
        <f>Datos!A16</f>
        <v xml:space="preserve">Jdos. 1ª Instª. e Instr.                        </v>
      </c>
      <c r="D16" s="543"/>
      <c r="E16" s="1333">
        <f>IF(ISNUMBER(Datos!AQ16),Datos!AQ16," - ")</f>
        <v>8</v>
      </c>
      <c r="F16" s="497">
        <f>IF(ISNUMBER(AA16+Y16-Datos!J16-K15),AA16+Y16-Datos!J16-K15," - ")</f>
        <v>1840</v>
      </c>
      <c r="G16" s="506">
        <f>IF(ISNUMBER(IF(D_I="SI",Datos!I16,Datos!I16+Datos!AC16)),IF(D_I="SI",Datos!I16,Datos!I16+Datos!AC16)," - ")</f>
        <v>1804</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80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1662</v>
      </c>
      <c r="Z16" s="703">
        <f>IF(ISNUMBER(Datos!Q16),Datos!Q16," - ")</f>
        <v>81</v>
      </c>
      <c r="AA16" s="505">
        <f>IF(ISNUMBER(IF(D_I="SI",Datos!L16,Datos!L16+Datos!AF16)),IF(D_I="SI",Datos!L16,Datos!L16+Datos!AF16)," - ")</f>
        <v>2012</v>
      </c>
      <c r="AB16" s="503"/>
      <c r="AC16" s="503"/>
      <c r="AD16" s="516"/>
      <c r="AE16" s="516">
        <f>IF(ISNUMBER(Datos!R16),Datos!R16," - ")</f>
        <v>331</v>
      </c>
      <c r="AF16" s="619" t="str">
        <f>IF(ISNUMBER(Datos!BV16),Datos!BV16," - ")</f>
        <v xml:space="preserve"> - </v>
      </c>
      <c r="AG16" s="506"/>
      <c r="AH16" s="507"/>
      <c r="AI16" s="508"/>
      <c r="AJ16" s="506">
        <f>IF(ISNUMBER(Datos!M16),Datos!M16," - ")</f>
        <v>230</v>
      </c>
      <c r="AK16" s="619">
        <f>IF(ISNUMBER(Datos!N16),Datos!N16," - ")</f>
        <v>964</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2.421179302045728</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191</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144</v>
      </c>
      <c r="Z17" s="703">
        <f>IF(ISNUMBER(Datos!Q17),Datos!Q17," - ")</f>
        <v>0</v>
      </c>
      <c r="AA17" s="505">
        <f>IF(ISNUMBER(Datos!L17),Datos!L17,"-")</f>
        <v>169</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12</v>
      </c>
      <c r="AK17" s="619">
        <f>IF(ISNUMBER(Datos!N17),Datos!N17," - ")</f>
        <v>93</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2.3472222222222223</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8</v>
      </c>
      <c r="F18" s="1044">
        <f>SUBTOTAL(9,F15:F17)</f>
        <v>1840</v>
      </c>
      <c r="G18" s="1044">
        <f>SUBTOTAL(9,G15:G17)</f>
        <v>1995</v>
      </c>
      <c r="H18" s="1078">
        <f>SUBTOTAL(9,H15:H17)</f>
        <v>0</v>
      </c>
      <c r="I18" s="1057">
        <f>SUBTOTAL(9,I15:I17)</f>
        <v>0</v>
      </c>
      <c r="J18" s="1013">
        <f>SUBTOTAL(9,J14:J17)</f>
        <v>0</v>
      </c>
      <c r="K18" s="1078">
        <f t="shared" ref="K18:S18" si="4">SUBTOTAL(9,K15:K17)</f>
        <v>0</v>
      </c>
      <c r="L18" s="1078">
        <f t="shared" si="4"/>
        <v>0</v>
      </c>
      <c r="M18" s="1078">
        <f t="shared" si="4"/>
        <v>0</v>
      </c>
      <c r="N18" s="1078">
        <f t="shared" si="4"/>
        <v>80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1806</v>
      </c>
      <c r="Z18" s="1078">
        <f t="shared" si="5"/>
        <v>81</v>
      </c>
      <c r="AA18" s="1078">
        <f t="shared" si="5"/>
        <v>2181</v>
      </c>
      <c r="AB18" s="1078">
        <f t="shared" si="5"/>
        <v>0</v>
      </c>
      <c r="AC18" s="1078">
        <f t="shared" si="5"/>
        <v>0</v>
      </c>
      <c r="AD18" s="1078">
        <f t="shared" si="5"/>
        <v>0</v>
      </c>
      <c r="AE18" s="1078">
        <f t="shared" si="5"/>
        <v>331</v>
      </c>
      <c r="AF18" s="1078">
        <f t="shared" si="5"/>
        <v>0</v>
      </c>
      <c r="AG18" s="1078">
        <f t="shared" si="5"/>
        <v>0</v>
      </c>
      <c r="AH18" s="1078">
        <f t="shared" si="5"/>
        <v>0</v>
      </c>
      <c r="AI18" s="1078">
        <f t="shared" si="5"/>
        <v>0</v>
      </c>
      <c r="AJ18" s="1078">
        <f t="shared" si="5"/>
        <v>242</v>
      </c>
      <c r="AK18" s="1078">
        <f t="shared" si="5"/>
        <v>1057</v>
      </c>
      <c r="AL18" s="1078">
        <f t="shared" si="5"/>
        <v>0</v>
      </c>
      <c r="AM18" s="1078">
        <f t="shared" si="5"/>
        <v>0</v>
      </c>
      <c r="AN18" s="1078">
        <f t="shared" si="5"/>
        <v>0</v>
      </c>
      <c r="AO18" s="1080">
        <f>IF(ISNUMBER(((NºAsuntos!I18/NºAsuntos!G18)*11)/factor_trimestre),((NºAsuntos!I18/NºAsuntos!G18)*11)/factor_trimestre," - ")</f>
        <v>2.4152823920265782</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16</v>
      </c>
      <c r="F19" s="966">
        <f t="shared" si="7"/>
        <v>1914</v>
      </c>
      <c r="G19" s="966">
        <f t="shared" si="7"/>
        <v>2069</v>
      </c>
      <c r="H19" s="967">
        <f t="shared" si="7"/>
        <v>0</v>
      </c>
      <c r="I19" s="966">
        <f t="shared" si="7"/>
        <v>0</v>
      </c>
      <c r="J19" s="968">
        <f t="shared" si="7"/>
        <v>0</v>
      </c>
      <c r="K19" s="966">
        <f t="shared" si="7"/>
        <v>0</v>
      </c>
      <c r="L19" s="969">
        <f t="shared" si="7"/>
        <v>0</v>
      </c>
      <c r="M19" s="966">
        <f t="shared" si="7"/>
        <v>0</v>
      </c>
      <c r="N19" s="967">
        <f t="shared" si="7"/>
        <v>410</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1828</v>
      </c>
      <c r="Z19" s="973">
        <f t="shared" si="8"/>
        <v>354</v>
      </c>
      <c r="AA19" s="974">
        <f t="shared" si="8"/>
        <v>2258</v>
      </c>
      <c r="AB19" s="974">
        <f t="shared" si="8"/>
        <v>0</v>
      </c>
      <c r="AC19" s="974">
        <f t="shared" si="8"/>
        <v>0</v>
      </c>
      <c r="AD19" s="975">
        <f t="shared" si="8"/>
        <v>0</v>
      </c>
      <c r="AE19" s="975">
        <f t="shared" si="8"/>
        <v>8116</v>
      </c>
      <c r="AF19" s="976">
        <f t="shared" si="8"/>
        <v>0</v>
      </c>
      <c r="AG19" s="977">
        <f t="shared" si="8"/>
        <v>0</v>
      </c>
      <c r="AH19" s="978">
        <f t="shared" si="8"/>
        <v>0</v>
      </c>
      <c r="AI19" s="976">
        <f t="shared" si="8"/>
        <v>0</v>
      </c>
      <c r="AJ19" s="966">
        <f t="shared" si="8"/>
        <v>482</v>
      </c>
      <c r="AK19" s="966">
        <f t="shared" si="8"/>
        <v>2118</v>
      </c>
      <c r="AL19" s="966">
        <f t="shared" si="8"/>
        <v>0</v>
      </c>
      <c r="AM19" s="979">
        <f t="shared" si="8"/>
        <v>0</v>
      </c>
      <c r="AN19" s="969">
        <f>IF(ISNUMBER(Datos!K19/Datos!J19),Datos!K19/Datos!J19," - ")</f>
        <v>0.93116985082439152</v>
      </c>
      <c r="AO19" s="969">
        <f>IF(ISNUMBER(FIND("06",Criterios!A8,1)),(IF(ISNUMBER(((Datos!R19/Datos!Q19)*11)/factor_trimestre),((Datos!R19/Datos!Q19)*11)/factor_trimestre," - ")),(IF(ISNUMBER(((Datos!L19/Datos!K19)*11)/factor_trimestre),((Datos!L19/Datos!K19)*11)/factor_trimestre," - ")))</f>
        <v>5.3620011242270937</v>
      </c>
      <c r="AP19" s="980" t="str">
        <f>IF(ISNUMBER(Datos!CI19/Datos!CJ19),Datos!CI19/Datos!CJ19," - ")</f>
        <v xml:space="preserve"> - </v>
      </c>
      <c r="AQ19" s="980">
        <f>IF(OR(ISNUMBER(FIND("01",Criterios!A8,1)),ISNUMBER(FIND("02",Criterios!A8,1)),ISNUMBER(FIND("03",Criterios!A8,1)),ISNUMBER(FIND("04",Criterios!A8,1))),(J19-Y19+K19)/(F19-K19),(I19-Y19+K19)/(F19-K19))</f>
        <v>-0.95506792058516199</v>
      </c>
      <c r="AR19" s="980">
        <f>IF(ISNUMBER((Datos!P19-Datos!Q19+O19)/(Datos!R19-Datos!P19+Datos!Q19-O19)),(Datos!P19-Datos!Q19+O19)/(Datos!R19-Datos!P19+Datos!Q19-O19)," - ")</f>
        <v>6.9478908188585608E-3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827.6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1019.6005753888791</v>
      </c>
      <c r="G21" s="600">
        <f>IF(ISNUMBER(STDEV(G8:G18)),STDEV(G8:G18),"-")</f>
        <v>981.99607942190892</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116.41935692429618</v>
      </c>
      <c r="AK21" s="256"/>
      <c r="AL21" s="256">
        <f>IF(ISNUMBER(STDEV(AL8:AL18)),STDEV(AL8:AL18),"-")</f>
        <v>0</v>
      </c>
      <c r="AM21" s="258">
        <f>IF(ISNUMBER(STDEV(AM8:AM18)),STDEV(AM8:AM18),"-")</f>
        <v>0</v>
      </c>
      <c r="AN21" s="586">
        <f>IF(ISNUMBER(STDEV(AN8:AN18)),STDEV(AN8:AN18),"-")</f>
        <v>0</v>
      </c>
      <c r="AO21" s="587">
        <f>IF(ISNUMBER(STDEV(AO8:AO18)),STDEV(AO8:AO18),"-")</f>
        <v>2.8040385575450988</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hgpqRxGCOFwhwLJsFRcfw54Ety9AGHfgZ0HCbvVS21/kIrFgOTYtXhO5VZOpWfgvhX1D2++m22WjnGdFieHfng==" saltValue="gqwdHGG0dtoG+xiR213bQ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RvWrh64YfSw0bIuTsUebd1B1iJ6FyQ7blkm9p9qRcNiWH3zFDkQyQtqyYq6XQvidHcVkpGJpbAfi4S4GfYN67Q==" saltValue="sADvrzMxKA4gwccP2D1pe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f8cphgMof/I4hCYeOvr1LwZt46uZebVkZcwIRzMty7aW+63IfUtzZh59IlchI845V+QOc3L2oq4HlG2FelxpWQ==" saltValue="fFan9Ee/ePZQB/oZDp0nX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MADRID</v>
      </c>
      <c r="F1" s="752"/>
    </row>
    <row r="2" spans="1:75" ht="16.5" customHeight="1">
      <c r="C2" s="520" t="str">
        <f>Criterios!A10 &amp;"  "&amp;Criterios!B10 &amp; "  " &amp; IF(NOT(ISBLANK(Criterios!A11)),Criterios!A11 &amp;"  "&amp;Criterios!B11,"")</f>
        <v>Provincias  MADRID  Resumenes por Partidos Judiciales  NAVALCARNERO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0.11940298507462686</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8.4430660440184782E-2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GbRjd1TDa0+eM1NXbQ4fq+txOb8GVufur6eE8VfvHEivM0wNp7CVgcz61jt0k0MEBZzAyXGSAHBV9QaFGpaojQ==" saltValue="qaSADcS5xdpkNgssZ23dB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J+9dNbNa6bgMK162gZBuLrA14IPrZnDuoMWpwOhxvuFKVPmt3SO+WhanUvq/uRxNwcV9L9G2CbTMqKz2YihPMw==" saltValue="1IO3oW+OM/6XxS334BdOo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MADRID</v>
      </c>
      <c r="C2" s="399"/>
      <c r="D2" s="399"/>
      <c r="E2" s="399"/>
      <c r="F2" s="399"/>
    </row>
    <row r="3" spans="1:14" ht="19.5">
      <c r="A3" s="401" t="s">
        <v>115</v>
      </c>
      <c r="B3" s="402" t="str">
        <f>Criterios!A10 &amp;"  "&amp;Criterios!B10</f>
        <v>Provincias  MADRID</v>
      </c>
      <c r="D3" s="399"/>
      <c r="E3" s="399"/>
      <c r="F3" s="399"/>
    </row>
    <row r="4" spans="1:14" ht="13.5" thickBot="1">
      <c r="A4" s="399"/>
      <c r="B4" s="402" t="str">
        <f>Criterios!A11 &amp;"  "&amp;Criterios!B11</f>
        <v>Resumenes por Partidos Judiciales  NAVALCARNERO</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74</v>
      </c>
      <c r="D10" s="415">
        <f>IF(ISNUMBER(C10/Datos!BH10),C10/Datos!BH10," - ")</f>
        <v>74</v>
      </c>
      <c r="E10" s="414">
        <f>IF(ISNUMBER(Datos!J10),Datos!J10," - ")</f>
        <v>25</v>
      </c>
      <c r="F10" s="415">
        <f>IF(ISNUMBER(E10/B10),E10/B10," - ")</f>
        <v>25</v>
      </c>
      <c r="G10" s="414">
        <f>IF(ISNUMBER(Datos!K10),Datos!K10," - ")</f>
        <v>22</v>
      </c>
      <c r="H10" s="415">
        <f>IF(ISNUMBER(G10/B10),G10/B10," - ")</f>
        <v>22</v>
      </c>
      <c r="I10" s="414">
        <f>IF(ISNUMBER(Datos!L10),Datos!L10," - ")</f>
        <v>77</v>
      </c>
      <c r="J10" s="415">
        <f>IF(ISNUMBER(I10/B10),I10/B10," - ")</f>
        <v>77</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8</v>
      </c>
      <c r="C12" s="414">
        <f>IF(ISNUMBER(IF(J_V="SI",Datos!I12,Datos!I12+Datos!Y12)),IF(J_V="SI",Datos!I12,Datos!I12+Datos!Y12)," - ")</f>
        <v>7750</v>
      </c>
      <c r="D12" s="415">
        <f>IF(ISNUMBER(C12/Datos!BH12),C12/Datos!BH12," - ")</f>
        <v>1107.1428571428571</v>
      </c>
      <c r="E12" s="414">
        <f>IF(ISNUMBER(IF(J_V="SI",Datos!J12,Datos!J12+Datos!Z12)),IF(J_V="SI",Datos!J12,Datos!J12+Datos!Z12)," - ")</f>
        <v>2042</v>
      </c>
      <c r="F12" s="415">
        <f>IF(ISNUMBER(E12/B12),E12/B12," - ")</f>
        <v>255.25</v>
      </c>
      <c r="G12" s="414">
        <f>IF(ISNUMBER(IF(J_V="SI",Datos!K12,Datos!K12+Datos!AA12)),IF(J_V="SI",Datos!K12,Datos!K12+Datos!AA12)," - ")</f>
        <v>1988</v>
      </c>
      <c r="H12" s="415">
        <f>IF(ISNUMBER(G12/B12),G12/B12," - ")</f>
        <v>248.5</v>
      </c>
      <c r="I12" s="414">
        <f>IF(ISNUMBER(IF(J_V="SI",Datos!L12,Datos!L12+Datos!AB12)),IF(J_V="SI",Datos!L12,Datos!L12+Datos!AB12)," - ")</f>
        <v>7693</v>
      </c>
      <c r="J12" s="415">
        <f>IF(ISNUMBER(I12/B12),I12/B12," - ")</f>
        <v>961.625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8</v>
      </c>
      <c r="C13" s="995">
        <f>SUBTOTAL(9,C8:C12)</f>
        <v>7824</v>
      </c>
      <c r="D13" s="996" t="str">
        <f>IF(ISNUMBER(C13/Datos!BI13),C13/Datos!BI13," - ")</f>
        <v xml:space="preserve"> - </v>
      </c>
      <c r="E13" s="995">
        <f>SUBTOTAL(9,E8:E12)</f>
        <v>2067</v>
      </c>
      <c r="F13" s="996">
        <f>IF(ISNUMBER(E13/B13),E13/B13," - ")</f>
        <v>258.375</v>
      </c>
      <c r="G13" s="995">
        <f>SUBTOTAL(9,G8:G12)</f>
        <v>2010</v>
      </c>
      <c r="H13" s="996">
        <f>IF(ISNUMBER(G13/B13),G13/B13," - ")</f>
        <v>251.25</v>
      </c>
      <c r="I13" s="995">
        <f>SUBTOTAL(9,I8:I12)</f>
        <v>7770</v>
      </c>
      <c r="J13" s="996">
        <f>IF(ISNUMBER(I13/B13),I13/B13," - ")</f>
        <v>971.25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8</v>
      </c>
      <c r="C16" s="414">
        <f>IF(ISNUMBER(IF(D_I="SI",Datos!I16,Datos!I16+Datos!AC16)),IF(D_I="SI",Datos!I16,Datos!I16+Datos!AC16)," - ")</f>
        <v>1804</v>
      </c>
      <c r="D16" s="415">
        <f>IF(ISNUMBER(C16/Datos!BH16),C16/Datos!BH16," - ")</f>
        <v>257.71428571428572</v>
      </c>
      <c r="E16" s="414">
        <f>IF(ISNUMBER(IF(D_I="SI",Datos!J16,Datos!J16+Datos!AD16)),IF(D_I="SI",Datos!J16,Datos!J16+Datos!AD16)," - ")</f>
        <v>1834</v>
      </c>
      <c r="F16" s="415">
        <f>IF(ISNUMBER(E16/B16),E16/B16," - ")</f>
        <v>229.25</v>
      </c>
      <c r="G16" s="414">
        <f>IF(ISNUMBER(IF(D_I="SI",Datos!K16,Datos!K16+Datos!AE16)),IF(D_I="SI",Datos!K16,Datos!K16+Datos!AE16)," - ")</f>
        <v>1662</v>
      </c>
      <c r="H16" s="415">
        <f>IF(ISNUMBER(G16/B16),G16/B16," - ")</f>
        <v>207.75</v>
      </c>
      <c r="I16" s="414">
        <f>IF(ISNUMBER(IF(D_I="SI",Datos!L16,Datos!L16+Datos!AF16)),IF(D_I="SI",Datos!L16,Datos!L16+Datos!AF16)," - ")</f>
        <v>2012</v>
      </c>
      <c r="J16" s="415">
        <f>IF(ISNUMBER(I16/B16),I16/B16," - ")</f>
        <v>251.5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191</v>
      </c>
      <c r="D17" s="415">
        <f>IF(ISNUMBER(C17/Datos!BH17),C17/Datos!BH17," - ")</f>
        <v>191</v>
      </c>
      <c r="E17" s="414">
        <f>IF(ISNUMBER(IF(D_I="SI",Datos!J17,Datos!J17+Datos!AD17)),IF(D_I="SI",Datos!J17,Datos!J17+Datos!AD17)," - ")</f>
        <v>122</v>
      </c>
      <c r="F17" s="415">
        <f>IF(ISNUMBER(E17/B17),E17/B17," - ")</f>
        <v>122</v>
      </c>
      <c r="G17" s="414">
        <f>IF(ISNUMBER(IF(D_I="SI",Datos!K17,Datos!K17+Datos!AE17)),IF(D_I="SI",Datos!K17,Datos!K17+Datos!AE17)," - ")</f>
        <v>144</v>
      </c>
      <c r="H17" s="415">
        <f>IF(ISNUMBER(G17/B17),G17/B17," - ")</f>
        <v>144</v>
      </c>
      <c r="I17" s="414">
        <f>IF(ISNUMBER(IF(D_I="SI",Datos!L17,Datos!L17+Datos!AF17)),IF(D_I="SI",Datos!L17,Datos!L17+Datos!AF17)," - ")</f>
        <v>169</v>
      </c>
      <c r="J17" s="415">
        <f>IF(ISNUMBER(I17/B17),I17/B17," - ")</f>
        <v>169</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8</v>
      </c>
      <c r="C18" s="995">
        <f>SUBTOTAL(9,C14:C17)</f>
        <v>1995</v>
      </c>
      <c r="D18" s="996" t="str">
        <f>IF(ISNUMBER(C18/Datos!BI18),C18/Datos!BI18," - ")</f>
        <v xml:space="preserve"> - </v>
      </c>
      <c r="E18" s="995">
        <f>SUBTOTAL(9,E14:E17)</f>
        <v>1956</v>
      </c>
      <c r="F18" s="996">
        <f>IF(ISNUMBER(E18/B18),E18/B18," - ")</f>
        <v>244.5</v>
      </c>
      <c r="G18" s="995">
        <f>SUBTOTAL(9,G14:G17)</f>
        <v>1806</v>
      </c>
      <c r="H18" s="996">
        <f>IF(ISNUMBER(G18/B18),G18/B18," - ")</f>
        <v>225.75</v>
      </c>
      <c r="I18" s="995">
        <f>SUBTOTAL(9,I14:I17)</f>
        <v>2181</v>
      </c>
      <c r="J18" s="996">
        <f>IF(ISNUMBER(I18/B18),I18/B18," - ")</f>
        <v>272.625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8</v>
      </c>
      <c r="C19" s="940">
        <f>SUBTOTAL(9,C9:C18)</f>
        <v>9819</v>
      </c>
      <c r="D19" s="941" t="str">
        <f>IF(ISNUMBER(C19/Datos!BI19),C19/Datos!BI19," - ")</f>
        <v xml:space="preserve"> - </v>
      </c>
      <c r="E19" s="940">
        <f>SUBTOTAL(9,E9:E18)</f>
        <v>4023</v>
      </c>
      <c r="F19" s="941">
        <f>IF(ISNUMBER(E19/B19),E19/B19," - ")</f>
        <v>502.875</v>
      </c>
      <c r="G19" s="940">
        <f>SUBTOTAL(9,G9:G18)</f>
        <v>3816</v>
      </c>
      <c r="H19" s="941">
        <f>IF(ISNUMBER(G19/B19),G19/B19," - ")</f>
        <v>477</v>
      </c>
      <c r="I19" s="940">
        <f>SUBTOTAL(9,I9:I18)</f>
        <v>9951</v>
      </c>
      <c r="J19" s="941">
        <f>IF(ISNUMBER(I19/B19),I19/B19," - ")</f>
        <v>1243.875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PkmnWoedpx3IkeY0yiNA4llsHv259GnlesDlKfLYT/9A1Rq9igCGT9rFbNvKO2xp+n2lud6JGMfuz1AWLNNurA==" saltValue="oNGaVM/hziv6nzSIUAHx1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MADRID</v>
      </c>
      <c r="F1" s="752"/>
      <c r="W1"/>
      <c r="X1"/>
      <c r="BE1" s="752"/>
    </row>
    <row r="2" spans="1:65" ht="16.5" customHeight="1">
      <c r="C2" s="520" t="str">
        <f>Criterios!A10 &amp;"  "&amp;Criterios!B10 &amp; "  " &amp; IF(NOT(ISBLANK(Criterios!A11)),Criterios!A11 &amp;"  "&amp;Criterios!B11,"")</f>
        <v>Provincias  MADRID  Resumenes por Partidos Judiciales  NAVALCARNERO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74</v>
      </c>
      <c r="G10" s="802">
        <f>IF(ISNUMBER(Datos!I10),Datos!I10," - ")</f>
        <v>74</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8</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22</v>
      </c>
      <c r="AC10" s="801" t="str">
        <f>IF(ISNUMBER(IF(D_I="SI",DatosP!K17,DatosP!K17+DatosP!AE17)),IF(D_I="SI",DatosP!K17,DatosP!K17+DatosP!AE17)," - ")</f>
        <v xml:space="preserve"> - </v>
      </c>
      <c r="AD10" s="803"/>
      <c r="AE10" s="803"/>
      <c r="AF10" s="806">
        <f>IF(ISNUMBER(Datos!L10),Datos!L10,"-")</f>
        <v>77</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9</v>
      </c>
      <c r="AM10" s="810">
        <f>IF(ISNUMBER(Datos!N10+DatosP!N17),Datos!N10+DatosP!N17," - ")</f>
        <v>13</v>
      </c>
      <c r="AN10" s="810">
        <f>IF(ISNUMBER(Datos!BW10+DatosP!BW17),Datos!BW10+DatosP!BW17," - ")</f>
        <v>0</v>
      </c>
      <c r="AO10" s="811">
        <f>IF(ISNUMBER(Datos!BX10+DatosP!BX17),Datos!BX10+DatosP!BX17," - ")</f>
        <v>0</v>
      </c>
      <c r="AP10" s="813">
        <f>IF(ISNUMBER(((Datos!L10/Datos!K10)*11)/factor_trimestre),((Datos!L10/Datos!K10)*11)/factor_trimestre," - ")</f>
        <v>7</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8</v>
      </c>
      <c r="B12" s="653" t="s">
        <v>249</v>
      </c>
      <c r="C12" s="654" t="str">
        <f>Datos!A12</f>
        <v xml:space="preserve">Jdos. 1ª Instª. e Instr.                        </v>
      </c>
      <c r="D12" s="548"/>
      <c r="E12" s="800">
        <f>IF(ISNUMBER(Datos!AQ12),Datos!AQ12," - ")</f>
        <v>8</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322</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262</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7700</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231</v>
      </c>
      <c r="AM12" s="810">
        <f>IF(ISNUMBER(Datos!N12+DatosP!N16),Datos!N12+DatosP!N16," - ")</f>
        <v>1048</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7.73943661971831</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7.8534031413612562E-3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8</v>
      </c>
      <c r="F13" s="1084">
        <f t="shared" si="0"/>
        <v>74</v>
      </c>
      <c r="G13" s="1084">
        <f t="shared" si="0"/>
        <v>74</v>
      </c>
      <c r="H13" s="1084">
        <f t="shared" si="0"/>
        <v>0</v>
      </c>
      <c r="I13" s="1086">
        <f t="shared" si="0"/>
        <v>0</v>
      </c>
      <c r="J13" s="1085">
        <f t="shared" si="0"/>
        <v>0</v>
      </c>
      <c r="K13" s="1085">
        <f t="shared" si="0"/>
        <v>0</v>
      </c>
      <c r="L13" s="1087">
        <f t="shared" si="0"/>
        <v>0</v>
      </c>
      <c r="M13" s="1087">
        <f t="shared" si="0"/>
        <v>0</v>
      </c>
      <c r="N13" s="1085">
        <f t="shared" si="0"/>
        <v>330</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22</v>
      </c>
      <c r="AC13" s="1085">
        <f t="shared" si="1"/>
        <v>0</v>
      </c>
      <c r="AD13" s="1085">
        <f t="shared" si="1"/>
        <v>262</v>
      </c>
      <c r="AE13" s="1085">
        <f t="shared" si="1"/>
        <v>0</v>
      </c>
      <c r="AF13" s="1085">
        <f t="shared" si="1"/>
        <v>77</v>
      </c>
      <c r="AG13" s="1085">
        <f t="shared" si="1"/>
        <v>0</v>
      </c>
      <c r="AH13" s="1085">
        <f t="shared" si="1"/>
        <v>7700</v>
      </c>
      <c r="AI13" s="1085">
        <f t="shared" si="1"/>
        <v>0</v>
      </c>
      <c r="AJ13" s="1085">
        <f t="shared" si="1"/>
        <v>0</v>
      </c>
      <c r="AK13" s="1085">
        <f t="shared" si="1"/>
        <v>0</v>
      </c>
      <c r="AL13" s="1085">
        <f t="shared" si="1"/>
        <v>240</v>
      </c>
      <c r="AM13" s="1085">
        <f t="shared" si="1"/>
        <v>1061</v>
      </c>
      <c r="AN13" s="1085">
        <f t="shared" si="1"/>
        <v>0</v>
      </c>
      <c r="AO13" s="1085">
        <f t="shared" si="1"/>
        <v>0</v>
      </c>
      <c r="AP13" s="1090">
        <f>IF(ISNUMBER(((Datos!L13/Datos!K13)*11)/factor_trimestre),((Datos!L13/Datos!K13)*11)/factor_trimestre," - ")</f>
        <v>8.3995433789954337</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-0.29729729729729731</v>
      </c>
      <c r="AU13" s="1085" t="str">
        <f>IF(ISNUMBER((DatosP!#REF!-DatosP!#REF!+DatosP!#REF!)/(DatosP!#REF!+DatosP!#REF!-DatosP!#REF!-DatosP!#REF!)),(DatosP!#REF!-DatosP!#REF!+DatosP!#REF!)/(DatosP!#REF!+DatosP!#REF!-DatosP!#REF!-DatosP!#REF!)," - ")</f>
        <v xml:space="preserve"> - </v>
      </c>
      <c r="AV13" s="1091">
        <f>SUBTOTAL(9,AV9:AV12)</f>
        <v>7.8534031413612562E-3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8</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2.4152823920265782</v>
      </c>
      <c r="AQ18" s="1090">
        <f>IF(ISNUMBER(((Datos!M18/Datos!L18)*11)/factor_trimestre),((Datos!M18/Datos!L18)*11)/factor_trimestre," - ")</f>
        <v>0.22191655204034844</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-3.0120481927710845E-3</v>
      </c>
      <c r="AW18" s="1092">
        <f>IF(ISNUMBER((Datos!Q18-Datos!R18)/(Datos!S18-Datos!Q18+Datos!R18)),(Datos!Q18-Datos!R18)/(Datos!S18-Datos!Q18+Datos!R18)," - ")</f>
        <v>-0.12755102040816327</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8</v>
      </c>
      <c r="F19" s="1097">
        <f t="shared" si="4"/>
        <v>74</v>
      </c>
      <c r="G19" s="1097">
        <f t="shared" si="4"/>
        <v>74</v>
      </c>
      <c r="H19" s="1097">
        <f t="shared" si="4"/>
        <v>0</v>
      </c>
      <c r="I19" s="1098">
        <f t="shared" si="4"/>
        <v>0</v>
      </c>
      <c r="J19" s="1099">
        <f t="shared" si="4"/>
        <v>0</v>
      </c>
      <c r="K19" s="1099">
        <f t="shared" si="4"/>
        <v>0</v>
      </c>
      <c r="L19" s="1099">
        <f t="shared" si="4"/>
        <v>0</v>
      </c>
      <c r="M19" s="1099">
        <f t="shared" si="4"/>
        <v>0</v>
      </c>
      <c r="N19" s="1098">
        <f t="shared" si="4"/>
        <v>330</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22</v>
      </c>
      <c r="AC19" s="1103">
        <f t="shared" si="5"/>
        <v>0</v>
      </c>
      <c r="AD19" s="1103">
        <f t="shared" si="5"/>
        <v>262</v>
      </c>
      <c r="AE19" s="1103">
        <f t="shared" si="5"/>
        <v>0</v>
      </c>
      <c r="AF19" s="1104">
        <f t="shared" si="5"/>
        <v>77</v>
      </c>
      <c r="AG19" s="1104">
        <f t="shared" si="5"/>
        <v>0</v>
      </c>
      <c r="AH19" s="1104">
        <f t="shared" si="5"/>
        <v>7700</v>
      </c>
      <c r="AI19" s="1104">
        <f t="shared" si="5"/>
        <v>0</v>
      </c>
      <c r="AJ19" s="1105">
        <f t="shared" si="5"/>
        <v>0</v>
      </c>
      <c r="AK19" s="1105">
        <f t="shared" si="5"/>
        <v>0</v>
      </c>
      <c r="AL19" s="1097">
        <f t="shared" si="5"/>
        <v>240</v>
      </c>
      <c r="AM19" s="1097">
        <f t="shared" si="5"/>
        <v>1061</v>
      </c>
      <c r="AN19" s="1097">
        <f t="shared" si="5"/>
        <v>0</v>
      </c>
      <c r="AO19" s="1097">
        <f t="shared" si="5"/>
        <v>0</v>
      </c>
      <c r="AP19" s="1097">
        <f>IF(ISNUMBER(((Datos!L19/Datos!K19)*11)/factor_trimestre),((Datos!L19/Datos!K19)*11)/factor_trimestre," - ")</f>
        <v>5.3620011242270937</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-0.29729729729729731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6.9478908188585608E-3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49.333333333333336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4.1311822359545785</v>
      </c>
      <c r="F21" s="869">
        <f>IF(ISNUMBER(STDEV(F8:F18)),STDEV(F8:F18),"-")</f>
        <v>42.723919920032309</v>
      </c>
      <c r="G21" s="870">
        <f>IF(ISNUMBER(STDEV(G8:G18)),STDEV(G8:G18),"-")</f>
        <v>42.723919920032309</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12.701705922171765</v>
      </c>
      <c r="AC21" s="871">
        <f>IF(ISNUMBER(STDEV(AC8:AC18)),STDEV(AC8:AC18),"-")</f>
        <v>0</v>
      </c>
      <c r="AD21" s="874"/>
      <c r="AE21" s="874"/>
      <c r="AF21" s="874"/>
      <c r="AG21" s="874"/>
      <c r="AH21" s="874"/>
      <c r="AI21" s="874"/>
      <c r="AJ21" s="875">
        <f>IF(ISNUMBER(STDEV(AJ8:AJ18)),STDEV(AJ8:AJ18),"-")</f>
        <v>0</v>
      </c>
      <c r="AK21" s="877"/>
      <c r="AL21" s="869">
        <f>IF(ISNUMBER(STDEV(AL8:AL18)),STDEV(AL8:AL18),"-")</f>
        <v>133.46909754696028</v>
      </c>
      <c r="AM21" s="869"/>
      <c r="AN21" s="869">
        <f>IF(ISNUMBER(STDEV(AN8:AN18)),STDEV(AN8:AN18),"-")</f>
        <v>0</v>
      </c>
      <c r="AO21" s="875">
        <f>IF(ISNUMBER(STDEV(AO8:AO18)),STDEV(AO8:AO18),"-")</f>
        <v>0</v>
      </c>
      <c r="AP21" s="922">
        <f>IF(ISNUMBER(STDEV(AP8:AP18)),STDEV(AP8:AP18),"-")</f>
        <v>2.7098410541207709</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4rOZ8Lf0almkjjLddNa05pqu/O2b6KArhfXovgP+AYjDTvoJ6DUdyF6hgpz7IxrthJRBL5yYzkwHW84m8om34w==" saltValue="82xdUS2FHtloqFEE1cfA1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MADRID</v>
      </c>
      <c r="C2" s="399"/>
      <c r="E2" s="399"/>
      <c r="F2" s="399"/>
      <c r="G2" s="399"/>
      <c r="H2" s="399"/>
    </row>
    <row r="3" spans="1:15" ht="39">
      <c r="A3" s="426" t="s">
        <v>221</v>
      </c>
      <c r="B3" s="402" t="str">
        <f>Criterios!A10 &amp;"  "&amp;Criterios!B10</f>
        <v>Provincias  MADRID</v>
      </c>
      <c r="C3" s="426"/>
      <c r="F3" s="399"/>
      <c r="G3" s="399"/>
      <c r="H3" s="399"/>
    </row>
    <row r="4" spans="1:15" ht="13.5" thickBot="1">
      <c r="A4" s="399"/>
      <c r="B4" s="402" t="str">
        <f>Criterios!A11 &amp;"  "&amp;Criterios!B11</f>
        <v>Resumenes por Partidos Judiciales  NAVALCARNERO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8</v>
      </c>
      <c r="D12" s="414">
        <f>Datos!BK12</f>
        <v>0</v>
      </c>
      <c r="E12" s="414">
        <f>Datos!AQ12</f>
        <v>8</v>
      </c>
      <c r="F12" s="415">
        <f>IF(ISNUMBER(E12/Datos!BH12),E12/Datos!BH12," - ")</f>
        <v>1.1428571428571428</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8</v>
      </c>
      <c r="D16" s="414">
        <f>Datos!BK16</f>
        <v>0</v>
      </c>
      <c r="E16" s="414">
        <f>Datos!AQ16</f>
        <v>8</v>
      </c>
      <c r="F16" s="415">
        <f>IF(ISNUMBER(E16/Datos!BH16),E16/Datos!BH16," - ")</f>
        <v>1.1428571428571428</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ta8w+bO8ryyowrnma4+zyOFNSK+QIu9u10OaPbfFO9KW/0oMaF8LZs9Yn7puelfgvwZSmCXPVJ3UJVtyG30cOg==" saltValue="iOg2jFhNwlQ2+xevSQrVZ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MADRID</v>
      </c>
      <c r="C2" s="438"/>
      <c r="D2" s="381"/>
    </row>
    <row r="3" spans="1:9" ht="19.5">
      <c r="A3" s="439" t="s">
        <v>11</v>
      </c>
      <c r="B3" s="440" t="str">
        <f>Criterios!A10 &amp;"  "&amp;Criterios!B10</f>
        <v>Provincias  MADRID</v>
      </c>
      <c r="C3" s="438"/>
      <c r="D3" s="439"/>
    </row>
    <row r="4" spans="1:9" ht="13.5" thickBot="1">
      <c r="B4" s="440" t="str">
        <f>Criterios!A11 &amp;"  "&amp;Criterios!B11</f>
        <v>Resumenes por Partidos Judiciales  NAVALCARNERO</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9</v>
      </c>
      <c r="E10" s="415">
        <f>IF(ISNUMBER(D10/B10),D10/B10," - ")</f>
        <v>9</v>
      </c>
      <c r="F10" s="414">
        <f>IF(ISNUMBER(Datos!N10),Datos!N10," - ")</f>
        <v>13</v>
      </c>
      <c r="G10" s="415">
        <f>IF(ISNUMBER(F10/B10),F10/B10," - ")</f>
        <v>13</v>
      </c>
      <c r="H10" s="414">
        <f>IF(ISNUMBER(Datos!O10),Datos!O10," - ")</f>
        <v>11</v>
      </c>
      <c r="I10" s="415">
        <f t="shared" ref="I10:I12" si="2">IF(ISNUMBER(H10/B10),H10/B10," - ")</f>
        <v>11</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8</v>
      </c>
      <c r="C12" s="421">
        <f>Datos!AQ12</f>
        <v>8</v>
      </c>
      <c r="D12" s="414">
        <f>IF(ISNUMBER(Datos!M12),Datos!M12," - ")</f>
        <v>231</v>
      </c>
      <c r="E12" s="415">
        <f t="shared" si="0"/>
        <v>28.875</v>
      </c>
      <c r="F12" s="414">
        <f>IF(ISNUMBER(Datos!N12),Datos!N12," - ")</f>
        <v>1048</v>
      </c>
      <c r="G12" s="415">
        <f t="shared" si="1"/>
        <v>131</v>
      </c>
      <c r="H12" s="414">
        <f>IF(ISNUMBER(Datos!O12),Datos!O12," - ")</f>
        <v>685</v>
      </c>
      <c r="I12" s="415">
        <f t="shared" si="2"/>
        <v>85.625</v>
      </c>
    </row>
    <row r="13" spans="1:9" ht="14.25" thickTop="1" thickBot="1">
      <c r="A13" s="994" t="str">
        <f>Datos!A13</f>
        <v>TOTAL</v>
      </c>
      <c r="B13" s="995">
        <f>Datos!AO13</f>
        <v>9</v>
      </c>
      <c r="C13" s="997">
        <f>Datos!AR13</f>
        <v>8</v>
      </c>
      <c r="D13" s="995">
        <f>SUBTOTAL(9,D9:D12)</f>
        <v>240</v>
      </c>
      <c r="E13" s="996">
        <f t="shared" si="0"/>
        <v>26.666666666666668</v>
      </c>
      <c r="F13" s="995">
        <f>SUBTOTAL(9,F9:F12)</f>
        <v>1061</v>
      </c>
      <c r="G13" s="996">
        <f t="shared" si="1"/>
        <v>117.88888888888889</v>
      </c>
      <c r="H13" s="995">
        <f>SUBTOTAL(9,H9:H12)</f>
        <v>696</v>
      </c>
      <c r="I13" s="996">
        <f>IF(ISNUMBER(H13/B13),H13/B13," - ")</f>
        <v>77.333333333333329</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8</v>
      </c>
      <c r="C16" s="444">
        <f>Datos!AQ16</f>
        <v>8</v>
      </c>
      <c r="D16" s="414">
        <f>IF(ISNUMBER(Datos!M16),Datos!M16," - ")</f>
        <v>230</v>
      </c>
      <c r="E16" s="415">
        <f t="shared" si="3"/>
        <v>28.75</v>
      </c>
      <c r="F16" s="414">
        <f>IF(ISNUMBER(Datos!N16),Datos!N16," - ")</f>
        <v>964</v>
      </c>
      <c r="G16" s="415">
        <f t="shared" si="4"/>
        <v>120.5</v>
      </c>
      <c r="H16" s="414">
        <f>IF(ISNUMBER(Datos!O16),Datos!O16," - ")</f>
        <v>48</v>
      </c>
      <c r="I16" s="415">
        <f t="shared" si="5"/>
        <v>6</v>
      </c>
    </row>
    <row r="17" spans="1:9" ht="13.5" thickBot="1">
      <c r="A17" s="413" t="str">
        <f>Datos!A17</f>
        <v>Jdos. Violencia contra la mujer</v>
      </c>
      <c r="B17" s="443">
        <f>Datos!AO17</f>
        <v>1</v>
      </c>
      <c r="C17" s="444">
        <f>Datos!AQ17</f>
        <v>0</v>
      </c>
      <c r="D17" s="414">
        <f>IF(ISNUMBER(Datos!M17),Datos!M17," - ")</f>
        <v>12</v>
      </c>
      <c r="E17" s="415">
        <f>IF(ISNUMBER(D17/B17),D17/B17," - ")</f>
        <v>12</v>
      </c>
      <c r="F17" s="414">
        <f>IF(ISNUMBER(Datos!N17),Datos!N17," - ")</f>
        <v>93</v>
      </c>
      <c r="G17" s="415">
        <f>IF(ISNUMBER(F17/B17),F17/B17," - ")</f>
        <v>93</v>
      </c>
      <c r="H17" s="414">
        <f>IF(ISNUMBER(Datos!O17),Datos!O17," - ")</f>
        <v>0</v>
      </c>
      <c r="I17" s="415">
        <f t="shared" si="5"/>
        <v>0</v>
      </c>
    </row>
    <row r="18" spans="1:9" ht="14.25" thickTop="1" thickBot="1">
      <c r="A18" s="994" t="str">
        <f>Datos!A18</f>
        <v>TOTAL</v>
      </c>
      <c r="B18" s="995">
        <f>Datos!AO18</f>
        <v>9</v>
      </c>
      <c r="C18" s="997">
        <f>Datos!AR18</f>
        <v>8</v>
      </c>
      <c r="D18" s="995">
        <f>SUBTOTAL(9,D15:D17)</f>
        <v>242</v>
      </c>
      <c r="E18" s="996">
        <f t="shared" si="3"/>
        <v>26.888888888888889</v>
      </c>
      <c r="F18" s="995">
        <f>SUBTOTAL(9,F15:F17)</f>
        <v>1057</v>
      </c>
      <c r="G18" s="996">
        <f t="shared" si="4"/>
        <v>117.44444444444444</v>
      </c>
      <c r="H18" s="995">
        <f>SUBTOTAL(9,H15:H17)</f>
        <v>48</v>
      </c>
      <c r="I18" s="996">
        <f>IF(ISNUMBER(H18/B18),H18/B18," - ")</f>
        <v>5.333333333333333</v>
      </c>
    </row>
    <row r="19" spans="1:9" ht="14.25" thickTop="1" thickBot="1">
      <c r="A19" s="939" t="str">
        <f>Datos!A19</f>
        <v>TOTAL JURISDICCIONES</v>
      </c>
      <c r="B19" s="940">
        <f>Datos!AP19</f>
        <v>8</v>
      </c>
      <c r="C19" s="940">
        <f>Datos!AR19</f>
        <v>8</v>
      </c>
      <c r="D19" s="940">
        <f>SUBTOTAL(9,D8:D18)</f>
        <v>482</v>
      </c>
      <c r="E19" s="941">
        <f>IF(ISNUMBER(D19/B19),D19/B19," - ")</f>
        <v>60.25</v>
      </c>
      <c r="F19" s="940">
        <f>SUBTOTAL(9,F8:F18)</f>
        <v>2118</v>
      </c>
      <c r="G19" s="941">
        <f>IF(ISNUMBER(F19/B19),F19/B19," - ")</f>
        <v>264.75</v>
      </c>
      <c r="H19" s="940">
        <f>SUBTOTAL(9,H8:H18)</f>
        <v>744</v>
      </c>
      <c r="I19" s="941">
        <f>IF(ISNUMBER(H19/B19),H19/B19," - ")</f>
        <v>93</v>
      </c>
    </row>
    <row r="22" spans="1:9">
      <c r="A22" s="402" t="str">
        <f>Criterios!A4</f>
        <v>Fecha Informe: 29 nov. 2023</v>
      </c>
    </row>
    <row r="27" spans="1:9">
      <c r="A27" s="425"/>
    </row>
  </sheetData>
  <sheetProtection algorithmName="SHA-512" hashValue="DdpoS20+WGtEV5opdOL9Wkb0zW1CKXbyrh6EIA2UnXINvzmOxfuDJQSpPXrv69CaeUCRYU8nUw36mLxJWXrkGw==" saltValue="BSxfxeoDXzuN3FCSd6Tgb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MADRID</v>
      </c>
    </row>
    <row r="3" spans="1:4" ht="19.5">
      <c r="A3" s="445" t="s">
        <v>32</v>
      </c>
      <c r="B3" s="402" t="str">
        <f>Criterios!A10 &amp;"  "&amp;Criterios!B10</f>
        <v>Provincias  MADRID</v>
      </c>
    </row>
    <row r="4" spans="1:4" ht="13.5" thickBot="1">
      <c r="B4" s="402" t="str">
        <f>Criterios!A11 &amp;"  "&amp;Criterios!B11</f>
        <v>Resumenes por Partidos Judiciales  NAVALCARNERO</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8</v>
      </c>
      <c r="C10" s="450">
        <f>IF(ISNUMBER(Datos!Q10),Datos!Q10," - ")</f>
        <v>11</v>
      </c>
      <c r="D10" s="419">
        <f>IF(ISNUMBER(Datos!R10),Datos!R10," - ")</f>
        <v>85</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322</v>
      </c>
      <c r="C12" s="450">
        <f>IF(ISNUMBER(Datos!Q12),Datos!Q12," - ")</f>
        <v>262</v>
      </c>
      <c r="D12" s="419">
        <f>IF(ISNUMBER(Datos!R12),Datos!R12," - ")</f>
        <v>7700</v>
      </c>
    </row>
    <row r="13" spans="1:4" ht="14.25" thickTop="1" thickBot="1">
      <c r="A13" s="994" t="str">
        <f>Datos!A13</f>
        <v>TOTAL</v>
      </c>
      <c r="B13" s="995">
        <f>SUBTOTAL(9,B9:B12)</f>
        <v>330</v>
      </c>
      <c r="C13" s="999">
        <f>SUBTOTAL(9,C9:C12)</f>
        <v>273</v>
      </c>
      <c r="D13" s="997">
        <f>SUBTOTAL(9,D9:D12)</f>
        <v>7785</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80</v>
      </c>
      <c r="C16" s="450">
        <f>IF(ISNUMBER(Datos!Q16),Datos!Q16," - ")</f>
        <v>81</v>
      </c>
      <c r="D16" s="419">
        <f>IF(ISNUMBER(Datos!R16),Datos!R16," - ")</f>
        <v>331</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80</v>
      </c>
      <c r="C18" s="999">
        <f>SUBTOTAL(9,C15:C17)</f>
        <v>81</v>
      </c>
      <c r="D18" s="997">
        <f>SUBTOTAL(9,D15:D17)</f>
        <v>331</v>
      </c>
    </row>
    <row r="19" spans="1:4" ht="16.5" customHeight="1" thickTop="1" thickBot="1">
      <c r="A19" s="939" t="str">
        <f>Datos!A19</f>
        <v>TOTAL JURISDICCIONES</v>
      </c>
      <c r="B19" s="944">
        <f>SUBTOTAL(9,B8:B18)</f>
        <v>410</v>
      </c>
      <c r="C19" s="945">
        <f>SUBTOTAL(9,C8:C18)</f>
        <v>354</v>
      </c>
      <c r="D19" s="946">
        <f>SUBTOTAL(9,D8:D18)</f>
        <v>8116</v>
      </c>
    </row>
    <row r="20" spans="1:4" ht="7.5" customHeight="1"/>
    <row r="21" spans="1:4" ht="6" customHeight="1"/>
    <row r="22" spans="1:4">
      <c r="A22" s="402" t="str">
        <f>Criterios!A4</f>
        <v>Fecha Informe: 29 nov. 2023</v>
      </c>
    </row>
    <row r="27" spans="1:4">
      <c r="A27" s="425"/>
    </row>
  </sheetData>
  <sheetProtection algorithmName="SHA-512" hashValue="fxUE54Vd7Ounp+lx2KJ0KszQmUhZCklCTPuvvExarASZ8shJx07se0VQUov51MoIrPxme3avWtyV8rN9f1xMKQ==" saltValue="baP/7yJndo/PW99YQBgGC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MADRID</v>
      </c>
    </row>
    <row r="3" spans="1:11" ht="18.75" customHeight="1">
      <c r="A3" s="445" t="s">
        <v>118</v>
      </c>
      <c r="B3" s="402" t="str">
        <f>Criterios!A10 &amp;"  "&amp;Criterios!B10</f>
        <v>Provincias  MADRID</v>
      </c>
    </row>
    <row r="4" spans="1:11" ht="10.5" customHeight="1" thickBot="1">
      <c r="B4" s="402" t="str">
        <f>Criterios!A11 &amp;"  "&amp;Criterios!B11</f>
        <v>Resumenes por Partidos Judiciales  NAVALCARNERO</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-0.13953488372093023</v>
      </c>
      <c r="C10" s="472">
        <f>IF(ISNUMBER((Datos!J10-Datos!T10)/Datos!T10),(Datos!J10-Datos!T10)/Datos!T10," - ")</f>
        <v>1.5</v>
      </c>
      <c r="D10" s="472">
        <f>IF(ISNUMBER((Datos!K10-Datos!U10)/Datos!U10),(Datos!K10-Datos!U10)/Datos!U10," - ")</f>
        <v>1.75</v>
      </c>
      <c r="E10" s="472">
        <f>IF(ISNUMBER((Datos!L10-Datos!V10)/Datos!V10),(Datos!L10-Datos!V10)/Datos!V10," - ")</f>
        <v>-0.125</v>
      </c>
      <c r="F10" s="472">
        <f>IF(ISNUMBER((Datos!M10-Datos!W10)/Datos!W10),(Datos!M10-Datos!W10)/Datos!W10," - ")</f>
        <v>1.25</v>
      </c>
      <c r="G10" s="473">
        <f>IF(ISNUMBER((Datos!N10-Datos!X10)/Datos!X10),(Datos!N10-Datos!X10)/Datos!X10," - ")</f>
        <v>5.5</v>
      </c>
      <c r="H10" s="471">
        <f>IF(ISNUMBER(((NºAsuntos!G10/NºAsuntos!E10)-Datos!BD10)/Datos!BD10),((NºAsuntos!G10/NºAsuntos!E10)-Datos!BD10)/Datos!BD10," - ")</f>
        <v>9.999999999999995E-2</v>
      </c>
      <c r="I10" s="472">
        <f>IF(ISNUMBER(((NºAsuntos!I10/NºAsuntos!G10)-Datos!BE10)/Datos!BE10),((NºAsuntos!I10/NºAsuntos!G10)-Datos!BE10)/Datos!BE10," - ")</f>
        <v>-0.68181818181818177</v>
      </c>
      <c r="J10" s="477">
        <f>IF(ISNUMBER((('Resol  Asuntos'!D10/NºAsuntos!G10)-Datos!BF10)/Datos!BF10),(('Resol  Asuntos'!D10/NºAsuntos!G10)-Datos!BF10)/Datos!BF10," - ")</f>
        <v>-0.18181818181818177</v>
      </c>
      <c r="K10" s="478">
        <f>IF(ISNUMBER((((NºAsuntos!C10+NºAsuntos!E10)/NºAsuntos!G10)-Datos!BG10)/Datos!BG10),(((NºAsuntos!C10+NºAsuntos!E10)/NºAsuntos!G10)-Datos!BG10)/Datos!BG10," - ")</f>
        <v>-0.625</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0.15619871699239146</v>
      </c>
      <c r="C12" s="472">
        <f>IF(ISNUMBER(
   IF(J_V="SI",(Datos!J12-Datos!T12)/Datos!T12,(Datos!J12+Datos!Z12-(Datos!T12+Datos!AH12))/(Datos!T12+Datos!AH12))
     ),IF(J_V="SI",(Datos!J12-Datos!T12)/Datos!T12,(Datos!J12+Datos!Z12-(Datos!T12+Datos!AH12))/(Datos!T12+Datos!AH12))," - ")</f>
        <v>1.8453865336658354E-2</v>
      </c>
      <c r="D12" s="472">
        <f>IF(ISNUMBER(
   IF(J_V="SI",(Datos!K12-Datos!U12)/Datos!U12,(Datos!K12+Datos!AA12-(Datos!U12+Datos!AI12))/(Datos!U12+Datos!AI12))
     ),IF(J_V="SI",(Datos!K12-Datos!U12)/Datos!U12,(Datos!K12+Datos!AA12-(Datos!U12+Datos!AI12))/(Datos!U12+Datos!AI12))," - ")</f>
        <v>0.23478260869565218</v>
      </c>
      <c r="E12" s="472">
        <f>IF(ISNUMBER(
   IF(J_V="SI",(Datos!L12-Datos!V12)/Datos!V12,(Datos!L12+Datos!AB12-(Datos!V12+Datos!AJ12))/(Datos!V12+Datos!AJ12))
     ),IF(J_V="SI",(Datos!L12-Datos!V12)/Datos!V12,(Datos!L12+Datos!AB12-(Datos!V12+Datos!AJ12))/(Datos!V12+Datos!AJ12))," - ")</f>
        <v>8.5815102328863802E-2</v>
      </c>
      <c r="F12" s="472">
        <f>IF(ISNUMBER((Datos!M12-Datos!W12)/Datos!W12),(Datos!M12-Datos!W12)/Datos!W12," - ")</f>
        <v>-3.7499999999999999E-2</v>
      </c>
      <c r="G12" s="473">
        <f>IF(ISNUMBER((Datos!N12-Datos!X12)/Datos!X12),(Datos!N12-Datos!X12)/Datos!X12," - ")</f>
        <v>0.311639549436796</v>
      </c>
      <c r="H12" s="471">
        <f>IF(ISNUMBER(((NºAsuntos!G12/NºAsuntos!E12)-Datos!BD12)/Datos!BD12),((NºAsuntos!G12/NºAsuntos!E12)-Datos!BD12)/Datos!BD12," - ")</f>
        <v>0.21240897670655381</v>
      </c>
      <c r="I12" s="472">
        <f>IF(ISNUMBER(((NºAsuntos!I12/NºAsuntos!G12)-Datos!BE12)/Datos!BE12),((NºAsuntos!I12/NºAsuntos!G12)-Datos!BE12)/Datos!BE12," - ")</f>
        <v>-0.12064269881817363</v>
      </c>
      <c r="J12" s="477">
        <f>IF(ISNUMBER((('Resol  Asuntos'!D12/NºAsuntos!G12)-Datos!BF12)/Datos!BF12),(('Resol  Asuntos'!D12/NºAsuntos!G12)-Datos!BF12)/Datos!BF12," - ")</f>
        <v>-0.76586049463237493</v>
      </c>
      <c r="K12" s="478">
        <f>IF(ISNUMBER((((NºAsuntos!C12+NºAsuntos!E12)/NºAsuntos!G12)-Datos!BG12)/Datos!BG12),(((NºAsuntos!C12+NºAsuntos!E12)/NºAsuntos!G12)-Datos!BG12)/Datos!BG12," - ")</f>
        <v>-8.9326958535780529E-2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0.15245249668581529</v>
      </c>
      <c r="C13" s="1001">
        <f>IF(ISNUMBER(
   IF(J_V="SI",(Datos!J13-Datos!T13)/Datos!T13,(Datos!J13+Datos!Z13-(Datos!T13+Datos!AH13))/(Datos!T13+Datos!AH13))
     ),IF(J_V="SI",(Datos!J13-Datos!T13)/Datos!T13,(Datos!J13+Datos!Z13-(Datos!T13+Datos!AH13))/(Datos!T13+Datos!AH13))," - ")</f>
        <v>2.5806451612903226E-2</v>
      </c>
      <c r="D13" s="1001">
        <f>IF(ISNUMBER(
   IF(J_V="SI",(Datos!K13-Datos!U13)/Datos!U13,(Datos!K13+Datos!AA13-(Datos!U13+Datos!AI13))/(Datos!U13+Datos!AI13))
     ),IF(J_V="SI",(Datos!K13-Datos!U13)/Datos!U13,(Datos!K13+Datos!AA13-(Datos!U13+Datos!AI13))/(Datos!U13+Datos!AI13))," - ")</f>
        <v>0.24227441285537701</v>
      </c>
      <c r="E13" s="1001">
        <f>IF(ISNUMBER(
   IF(J_V="SI",(Datos!L13-Datos!V13)/Datos!V13,(Datos!L13+Datos!AB13-(Datos!V13+Datos!AJ13))/(Datos!V13+Datos!AJ13))
     ),IF(J_V="SI",(Datos!L13-Datos!V13)/Datos!V13,(Datos!L13+Datos!AB13-(Datos!V13+Datos!AJ13))/(Datos!V13+Datos!AJ13))," - ")</f>
        <v>8.3228774571309075E-2</v>
      </c>
      <c r="F13" s="1002">
        <f>IF(ISNUMBER((Datos!M13-Datos!W13)/Datos!W13),(Datos!M13-Datos!W13)/Datos!W13," - ")</f>
        <v>-1.6393442622950821E-2</v>
      </c>
      <c r="G13" s="1003">
        <f>IF(ISNUMBER((Datos!N13-Datos!X13)/Datos!X13),(Datos!N13-Datos!X13)/Datos!X13," - ")</f>
        <v>0.32459425717852686</v>
      </c>
      <c r="H13" s="1003">
        <f>IF(ISNUMBER(((NºAsuntos!G13/NºAsuntos!E13)-Datos!BD13)/Datos!BD13),((NºAsuntos!G13/NºAsuntos!E13)-Datos!BD13)/Datos!BD13," - ")</f>
        <v>0.21102222636844931</v>
      </c>
      <c r="I13" s="1003">
        <f>IF(ISNUMBER(((NºAsuntos!I13/NºAsuntos!G13)-Datos!BE13)/Datos!BE13),((NºAsuntos!I13/NºAsuntos!G13)-Datos!BE13)/Datos!BE13," - ")</f>
        <v>-0.12802778245951335</v>
      </c>
      <c r="J13" s="1003">
        <f>IF(ISNUMBER((('Resol  Asuntos'!D13/NºAsuntos!G13)-Datos!BF13)/Datos!BF13),(('Resol  Asuntos'!D13/NºAsuntos!G13)-Datos!BF13)/Datos!BF13," - ")</f>
        <v>-0.75940967640006685</v>
      </c>
      <c r="K13" s="1003">
        <f>IF(ISNUMBER((((NºAsuntos!C13+NºAsuntos!E13)/NºAsuntos!G13)-Datos!BG13)/Datos!BG13),(((NºAsuntos!C13+NºAsuntos!E13)/NºAsuntos!G13)-Datos!BG13)/Datos!BG13," - ")</f>
        <v>-9.5637329029545526E-2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0.15863840719332048</v>
      </c>
      <c r="C16" s="472">
        <f>IF(ISNUMBER(
   IF(D_I="SI",(Datos!J16-Datos!T16)/Datos!T16,(Datos!J16+Datos!AD16-(Datos!T16+Datos!AL16))/(Datos!T16+Datos!AL16))
     ),IF(D_I="SI",(Datos!J16-Datos!T16)/Datos!T16,(Datos!J16+Datos!AD16-(Datos!T16+Datos!AL16))/(Datos!T16+Datos!AL16))," - ")</f>
        <v>0.11286407766990292</v>
      </c>
      <c r="D16" s="472">
        <f>IF(ISNUMBER(
   IF(D_I="SI",(Datos!K16-Datos!U16)/Datos!U16,(Datos!K16+Datos!AE16-(Datos!U16+Datos!AM16))/(Datos!U16+Datos!AM16))
     ),IF(D_I="SI",(Datos!K16-Datos!U16)/Datos!U16,(Datos!K16+Datos!AE16-(Datos!U16+Datos!AM16))/(Datos!U16+Datos!AM16))," - ")</f>
        <v>0.15096952908587258</v>
      </c>
      <c r="E16" s="472">
        <f>IF(ISNUMBER(
   IF(D_I="SI",(Datos!L16-Datos!V16)/Datos!V16,(Datos!L16+Datos!AF16-(Datos!V16+Datos!AN16))/(Datos!V16+Datos!AN16))
     ),IF(D_I="SI",(Datos!L16-Datos!V16)/Datos!V16,(Datos!L16+Datos!AF16-(Datos!V16+Datos!AN16))/(Datos!V16+Datos!AN16))," - ")</f>
        <v>0.12465064281721633</v>
      </c>
      <c r="F16" s="472">
        <f>IF(ISNUMBER((Datos!M16-Datos!W16)/Datos!W16),(Datos!M16-Datos!W16)/Datos!W16," - ")</f>
        <v>2.6785714285714284E-2</v>
      </c>
      <c r="G16" s="473">
        <f>IF(ISNUMBER((Datos!N16-Datos!X16)/Datos!X16),(Datos!N16-Datos!X16)/Datos!X16," - ")</f>
        <v>0.17132442284325639</v>
      </c>
      <c r="H16" s="471">
        <f>IF(ISNUMBER(((NºAsuntos!G16/NºAsuntos!E16)-Datos!BD16)/Datos!BD16),((NºAsuntos!G16/NºAsuntos!E16)-Datos!BD16)/Datos!BD16," - ")</f>
        <v>3.4240885459933403E-2</v>
      </c>
      <c r="I16" s="472">
        <f>IF(ISNUMBER(((NºAsuntos!I16/NºAsuntos!G16)-Datos!BE16)/Datos!BE16),((NºAsuntos!I16/NºAsuntos!G16)-Datos!BE16)/Datos!BE16," - ")</f>
        <v>-2.2866709850745983E-2</v>
      </c>
      <c r="J16" s="477">
        <f>IF(ISNUMBER((('Resol  Asuntos'!D16/NºAsuntos!G16)-Datos!BF16)/Datos!BF16),(('Resol  Asuntos'!D16/NºAsuntos!G16)-Datos!BF16)/Datos!BF16," - ")</f>
        <v>-0.10789496303936739</v>
      </c>
      <c r="K16" s="478">
        <f>IF(ISNUMBER((((NºAsuntos!C16+NºAsuntos!E16)/NºAsuntos!G16)-Datos!BG16)/Datos!BG16),(((NºAsuntos!C16+NºAsuntos!E16)/NºAsuntos!G16)-Datos!BG16)/Datos!BG16," - ")</f>
        <v>-1.3786746415705093E-2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0.24836601307189543</v>
      </c>
      <c r="C17" s="472">
        <f>IF(ISNUMBER(
   IF(D_I="SI",(Datos!J17-Datos!T17)/Datos!T17,(Datos!J17+Datos!AD17-(Datos!T17+Datos!AL17))/(Datos!T17+Datos!AL17))
     ),IF(D_I="SI",(Datos!J17-Datos!T17)/Datos!T17,(Datos!J17+Datos!AD17-(Datos!T17+Datos!AL17))/(Datos!T17+Datos!AL17))," - ")</f>
        <v>-0.452914798206278</v>
      </c>
      <c r="D17" s="472">
        <f>IF(ISNUMBER(
   IF(D_I="SI",(Datos!K17-Datos!U17)/Datos!U17,(Datos!K17+Datos!AE17-(Datos!U17+Datos!AM17))/(Datos!U17+Datos!AM17))
     ),IF(D_I="SI",(Datos!K17-Datos!U17)/Datos!U17,(Datos!K17+Datos!AE17-(Datos!U17+Datos!AM17))/(Datos!U17+Datos!AM17))," - ")</f>
        <v>-0.1864406779661017</v>
      </c>
      <c r="E17" s="472">
        <f>IF(ISNUMBER(
   IF(D_I="SI",(Datos!L17-Datos!V17)/Datos!V17,(Datos!L17+Datos!AF17-(Datos!V17+Datos!AN17))/(Datos!V17+Datos!AN17))
     ),IF(D_I="SI",(Datos!L17-Datos!V17)/Datos!V17,(Datos!L17+Datos!AF17-(Datos!V17+Datos!AN17))/(Datos!V17+Datos!AN17))," - ")</f>
        <v>-0.15075376884422109</v>
      </c>
      <c r="F17" s="472">
        <f>IF(ISNUMBER((Datos!M17-Datos!W17)/Datos!W17),(Datos!M17-Datos!W17)/Datos!W17," - ")</f>
        <v>0.7142857142857143</v>
      </c>
      <c r="G17" s="473">
        <f>IF(ISNUMBER((Datos!N17-Datos!X17)/Datos!X17),(Datos!N17-Datos!X17)/Datos!X17," - ")</f>
        <v>-0.12264150943396226</v>
      </c>
      <c r="H17" s="471">
        <f>IF(ISNUMBER(((NºAsuntos!G17/NºAsuntos!E17)-Datos!BD17)/Datos!BD17),((NºAsuntos!G17/NºAsuntos!E17)-Datos!BD17)/Datos!BD17," - ")</f>
        <v>0.4870797443734371</v>
      </c>
      <c r="I17" s="472">
        <f>IF(ISNUMBER(((NºAsuntos!I17/NºAsuntos!G17)-Datos!BE17)/Datos!BE17),((NºAsuntos!I17/NºAsuntos!G17)-Datos!BE17)/Datos!BE17," - ")</f>
        <v>4.3865159128978301E-2</v>
      </c>
      <c r="J17" s="477">
        <f>IF(ISNUMBER((('Resol  Asuntos'!D17/NºAsuntos!G17)-Datos!BF17)/Datos!BF17),(('Resol  Asuntos'!D17/NºAsuntos!G17)-Datos!BF17)/Datos!BF17," - ")</f>
        <v>1.1071428571428568</v>
      </c>
      <c r="K17" s="478">
        <f>IF(ISNUMBER((((NºAsuntos!C17+NºAsuntos!E17)/NºAsuntos!G17)-Datos!BG17)/Datos!BG17),(((NºAsuntos!C17+NºAsuntos!E17)/NºAsuntos!G17)-Datos!BG17)/Datos!BG17," - ")</f>
        <v>2.3215868794326282E-2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0.16666666666666666</v>
      </c>
      <c r="C18" s="1001">
        <f>IF(ISNUMBER(
   IF(Criterios!B14="SI",(Datos!J18-Datos!T18)/Datos!T18,(Datos!J18+Datos!AD18-(Datos!T18+Datos!AL18))/(Datos!T18+Datos!AL18))
     ),IF(Criterios!B14="SI",(Datos!J18-Datos!T18)/Datos!T18,(Datos!J18+Datos!AD18-(Datos!T18+Datos!AL18))/(Datos!T18+Datos!AL18))," - ")</f>
        <v>4.5430251202565476E-2</v>
      </c>
      <c r="D18" s="1001">
        <f>IF(ISNUMBER(
   IF(Criterios!B14="SI",(Datos!K18-Datos!U18)/Datos!U18,(Datos!K18+Datos!AE18-(Datos!U18+Datos!AM18))/(Datos!U18+Datos!AM18))
     ),IF(Criterios!B14="SI",(Datos!K18-Datos!U18)/Datos!U18,(Datos!K18+Datos!AE18-(Datos!U18+Datos!AM18))/(Datos!U18+Datos!AM18))," - ")</f>
        <v>0.11412708204811844</v>
      </c>
      <c r="E18" s="1001">
        <f>IF(ISNUMBER(
   IF(Criterios!B14="SI",(Datos!L18-Datos!V18)/Datos!V18,(Datos!L18+Datos!AF18-(Datos!V18+Datos!AN18))/(Datos!V18+Datos!AN18))
     ),IF(Criterios!B14="SI",(Datos!L18-Datos!V18)/Datos!V18,(Datos!L18+Datos!AF18-(Datos!V18+Datos!AN18))/(Datos!V18+Datos!AN18))," - ")</f>
        <v>9.7082494969818911E-2</v>
      </c>
      <c r="F18" s="1002">
        <f>IF(ISNUMBER((Datos!M18-Datos!W18)/Datos!W18),(Datos!M18-Datos!W18)/Datos!W18," - ")</f>
        <v>4.7619047619047616E-2</v>
      </c>
      <c r="G18" s="1003">
        <f>IF(ISNUMBER((Datos!N18-Datos!X18)/Datos!X18),(Datos!N18-Datos!X18)/Datos!X18," - ")</f>
        <v>0.13778256189451021</v>
      </c>
      <c r="H18" s="1003">
        <f>IF(ISNUMBER(((NºAsuntos!G18/NºAsuntos!E18)-Datos!BD18)/Datos!BD18),((NºAsuntos!G18/NºAsuntos!E18)-Datos!BD18)/Datos!BD18," - ")</f>
        <v>6.5711539116579606E-2</v>
      </c>
      <c r="I18" s="1003">
        <f>IF(ISNUMBER(((NºAsuntos!I18/NºAsuntos!G18)-Datos!BE18)/Datos!BE18),((NºAsuntos!I18/NºAsuntos!G18)-Datos!BE18)/Datos!BE18," - ")</f>
        <v>-1.5298602244697387E-2</v>
      </c>
      <c r="J18" s="1003">
        <f>IF(ISNUMBER((('Resol  Asuntos'!D18/NºAsuntos!G18)-Datos!BF18)/Datos!BF18),(('Resol  Asuntos'!D18/NºAsuntos!G18)-Datos!BF18)/Datos!BF18," - ")</f>
        <v>-5.9695195907820423E-2</v>
      </c>
      <c r="K18" s="1003">
        <f>IF(ISNUMBER((((NºAsuntos!C18+NºAsuntos!E18)/NºAsuntos!G18)-Datos!BG18)/Datos!BG18),(((NºAsuntos!C18+NºAsuntos!E18)/NºAsuntos!G18)-Datos!BG18)/Datos!BG18," - ")</f>
        <v>-9.6972671380235811E-3</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0.15531238969290503</v>
      </c>
      <c r="C19" s="948">
        <f>IF(ISNUMBER(
   IF(J_V="SI",(Datos!J19-Datos!T19)/Datos!T19,(Datos!J19+Datos!Z19-(Datos!T19+Datos!AH19))/(Datos!T19+Datos!AH19))
     ),IF(J_V="SI",(Datos!J19-Datos!T19)/Datos!T19,(Datos!J19+Datos!Z19-(Datos!T19+Datos!AH19))/(Datos!T19+Datos!AH19))," - ")</f>
        <v>3.5254760679361813E-2</v>
      </c>
      <c r="D19" s="948">
        <f>IF(ISNUMBER(
   IF(J_V="SI",(Datos!K19-Datos!U19)/Datos!U19,(Datos!K19+Datos!AA19-(Datos!U19+Datos!AI19))/(Datos!U19+Datos!AI19))
     ),IF(J_V="SI",(Datos!K19-Datos!U19)/Datos!U19,(Datos!K19+Datos!AA19-(Datos!U19+Datos!AI19))/(Datos!U19+Datos!AI19))," - ")</f>
        <v>0.17814140166718123</v>
      </c>
      <c r="E19" s="948">
        <f>IF(ISNUMBER(
   IF(J_V="SI",(Datos!L19-Datos!V19)/Datos!V19,(Datos!L19+Datos!AB19-(Datos!V19+Datos!AJ19))/(Datos!V19+Datos!AJ19))
     ),IF(J_V="SI",(Datos!L19-Datos!V19)/Datos!V19,(Datos!L19+Datos!AB19-(Datos!V19+Datos!AJ19))/(Datos!V19+Datos!AJ19))," - ")</f>
        <v>8.6235127169522974E-2</v>
      </c>
      <c r="F19" s="949">
        <f>IF(ISNUMBER((Datos!M19-Datos!W19)/Datos!W19),(Datos!M19-Datos!W19)/Datos!W19," - ")</f>
        <v>1.4736842105263158E-2</v>
      </c>
      <c r="G19" s="950">
        <f>IF(ISNUMBER((Datos!N19-Datos!X19)/Datos!X19),(Datos!N19-Datos!X19)/Datos!X19," - ")</f>
        <v>0.22427745664739884</v>
      </c>
      <c r="H19" s="951">
        <f>IF(ISNUMBER((Tasas!B19-Datos!BD19)/Datos!BD19),(Tasas!B19-Datos!BD19)/Datos!BD19," - ")</f>
        <v>0.13802075239340453</v>
      </c>
      <c r="I19" s="952">
        <f>IF(ISNUMBER((Tasas!C19-Datos!BE19)/Datos!BE19),(Tasas!C19-Datos!BE19)/Datos!BE19," - ")</f>
        <v>-7.8009544836979833E-2</v>
      </c>
      <c r="J19" s="953">
        <f>IF(ISNUMBER((Tasas!D19-Datos!BF19)/Datos!BF19),(Tasas!D19-Datos!BF19)/Datos!BF19," - ")</f>
        <v>-0.60433368206350935</v>
      </c>
      <c r="K19" s="953">
        <f>IF(ISNUMBER((Tasas!E19-Datos!BG19)/Datos!BG19),(Tasas!E19-Datos!BG19)/Datos!BG19," - ")</f>
        <v>-5.1351299883456131E-2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Gebn/tVR/SzBirgrc+NP74A1pFbNxdaalVsgzTX1nuu9I6L8HuG/b6cE4ixgBLYgPVh80Iy+vrylTUiBnGePqA==" saltValue="CJ65hdYuZHXe1R0yGjiGz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MADRID</v>
      </c>
    </row>
    <row r="3" spans="1:7" ht="19.5">
      <c r="A3" s="452" t="s">
        <v>12</v>
      </c>
      <c r="B3" s="402" t="str">
        <f>Criterios!A10 &amp;"  "&amp;Criterios!B10</f>
        <v>Provincias  MADRID</v>
      </c>
    </row>
    <row r="4" spans="1:7" ht="11.25" customHeight="1" thickBot="1">
      <c r="B4" s="402" t="str">
        <f>Criterios!A11 &amp;"  "&amp;Criterios!B11</f>
        <v>Resumenes por Partidos Judiciales  NAVALCARNERO</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0.88</v>
      </c>
      <c r="C10" s="459">
        <f>IF(ISNUMBER(NºAsuntos!I10/NºAsuntos!G10),NºAsuntos!I10/NºAsuntos!G10," - ")</f>
        <v>3.5</v>
      </c>
      <c r="D10" s="460">
        <f>IF(ISNUMBER('Resol  Asuntos'!D10/NºAsuntos!G10),'Resol  Asuntos'!D10/NºAsuntos!G10," - ")</f>
        <v>0.40909090909090912</v>
      </c>
      <c r="E10" s="461">
        <f>IF(ISNUMBER((NºAsuntos!C10+NºAsuntos!E10)/NºAsuntos!G10),(NºAsuntos!C10+NºAsuntos!E10)/NºAsuntos!G10," - ")</f>
        <v>4.5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0.97355533790401572</v>
      </c>
      <c r="C12" s="459">
        <f>IF(ISNUMBER(NºAsuntos!I12/NºAsuntos!G12),NºAsuntos!I12/NºAsuntos!G12," - ")</f>
        <v>3.869718309859155</v>
      </c>
      <c r="D12" s="460">
        <f>IF(ISNUMBER('Resol  Asuntos'!D12/NºAsuntos!G12),'Resol  Asuntos'!D12/NºAsuntos!G12," - ")</f>
        <v>0.11619718309859155</v>
      </c>
      <c r="E12" s="461">
        <f>IF(ISNUMBER((NºAsuntos!C12+NºAsuntos!E12)/NºAsuntos!G12),(NºAsuntos!C12+NºAsuntos!E12)/NºAsuntos!G12," - ")</f>
        <v>4.9255533199195174</v>
      </c>
      <c r="G12" s="479"/>
    </row>
    <row r="13" spans="1:7" ht="14.25" thickTop="1" thickBot="1">
      <c r="A13" s="994" t="str">
        <f>Datos!A13</f>
        <v>TOTAL</v>
      </c>
      <c r="B13" s="1004">
        <f>IF(ISNUMBER(NºAsuntos!G13/NºAsuntos!E13),NºAsuntos!G13/NºAsuntos!E13," - ")</f>
        <v>0.97242380261248185</v>
      </c>
      <c r="C13" s="1005">
        <f>IF(ISNUMBER(NºAsuntos!I13/NºAsuntos!G13),NºAsuntos!I13/NºAsuntos!G13," - ")</f>
        <v>3.8656716417910446</v>
      </c>
      <c r="D13" s="1006">
        <f>IF(ISNUMBER('Resol  Asuntos'!D13/NºAsuntos!G13),'Resol  Asuntos'!D13/NºAsuntos!G13," - ")</f>
        <v>0.11940298507462686</v>
      </c>
      <c r="E13" s="1007">
        <f>IF(ISNUMBER((NºAsuntos!C13+NºAsuntos!E13)/NºAsuntos!G13),(NºAsuntos!C13+NºAsuntos!E13)/NºAsuntos!G13," - ")</f>
        <v>4.9208955223880597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0.90621592148309704</v>
      </c>
      <c r="C16" s="459">
        <f>IF(ISNUMBER(NºAsuntos!I16/NºAsuntos!G16),NºAsuntos!I16/NºAsuntos!G16," - ")</f>
        <v>1.210589651022864</v>
      </c>
      <c r="D16" s="460">
        <f>IF(ISNUMBER('Resol  Asuntos'!D16/NºAsuntos!G16),'Resol  Asuntos'!D16/NºAsuntos!G16," - ")</f>
        <v>0.13838748495788206</v>
      </c>
      <c r="E16" s="461">
        <f>IF(ISNUMBER((NºAsuntos!C16+NºAsuntos!E16)/NºAsuntos!G16),(NºAsuntos!C16+NºAsuntos!E16)/NºAsuntos!G16," - ")</f>
        <v>2.1889290012033693</v>
      </c>
      <c r="G16" s="479"/>
    </row>
    <row r="17" spans="1:7" ht="13.5" thickBot="1">
      <c r="A17" s="413" t="str">
        <f>Datos!A17</f>
        <v>Jdos. Violencia contra la mujer</v>
      </c>
      <c r="B17" s="458">
        <f>IF(ISNUMBER(NºAsuntos!G17/NºAsuntos!E17),NºAsuntos!G17/NºAsuntos!E17," - ")</f>
        <v>1.180327868852459</v>
      </c>
      <c r="C17" s="459">
        <f>IF(ISNUMBER(NºAsuntos!I17/NºAsuntos!G17),NºAsuntos!I17/NºAsuntos!G17," - ")</f>
        <v>1.1736111111111112</v>
      </c>
      <c r="D17" s="460">
        <f>IF(ISNUMBER('Resol  Asuntos'!D17/NºAsuntos!G17),'Resol  Asuntos'!D17/NºAsuntos!G17," - ")</f>
        <v>8.3333333333333329E-2</v>
      </c>
      <c r="E17" s="461">
        <f>IF(ISNUMBER((NºAsuntos!C17+NºAsuntos!E17)/NºAsuntos!G17),(NºAsuntos!C17+NºAsuntos!E17)/NºAsuntos!G17," - ")</f>
        <v>2.1736111111111112</v>
      </c>
      <c r="G17" s="479"/>
    </row>
    <row r="18" spans="1:7" ht="14.25" thickTop="1" thickBot="1">
      <c r="A18" s="994" t="str">
        <f>Datos!A18</f>
        <v>TOTAL</v>
      </c>
      <c r="B18" s="1004">
        <f>IF(ISNUMBER(NºAsuntos!G18/NºAsuntos!E18),NºAsuntos!G18/NºAsuntos!E18," - ")</f>
        <v>0.92331288343558282</v>
      </c>
      <c r="C18" s="1005">
        <f>IF(ISNUMBER(NºAsuntos!I18/NºAsuntos!G18),NºAsuntos!I18/NºAsuntos!G18," - ")</f>
        <v>1.2076411960132891</v>
      </c>
      <c r="D18" s="1008">
        <f>IF(ISNUMBER('Resol  Asuntos'!D18/NºAsuntos!G18),'Resol  Asuntos'!D18/NºAsuntos!G18," - ")</f>
        <v>0.13399778516057587</v>
      </c>
      <c r="E18" s="1007">
        <f>IF(ISNUMBER((NºAsuntos!C18+NºAsuntos!E18)/NºAsuntos!G18),(NºAsuntos!C18+NºAsuntos!E18)/NºAsuntos!G18," - ")</f>
        <v>2.1877076411960132</v>
      </c>
      <c r="G18" s="479"/>
    </row>
    <row r="19" spans="1:7" ht="15.75" customHeight="1" thickTop="1" thickBot="1">
      <c r="A19" s="939" t="str">
        <f>Datos!A19</f>
        <v>TOTAL JURISDICCIONES</v>
      </c>
      <c r="B19" s="954">
        <f>IF(ISNUMBER(NºAsuntos!G19/NºAsuntos!E19),NºAsuntos!G19/NºAsuntos!E19," - ")</f>
        <v>0.94854586129753915</v>
      </c>
      <c r="C19" s="955">
        <f>IF(ISNUMBER(NºAsuntos!I19/NºAsuntos!G19),NºAsuntos!I19/NºAsuntos!G19," - ")</f>
        <v>2.6077044025157234</v>
      </c>
      <c r="D19" s="956">
        <f>IF(ISNUMBER('Resol  Asuntos'!D19/NºAsuntos!G19),'Resol  Asuntos'!D19/NºAsuntos!G19," - ")</f>
        <v>0.12631027253668764</v>
      </c>
      <c r="E19" s="957">
        <f>IF(ISNUMBER((NºAsuntos!C19+NºAsuntos!E19)/NºAsuntos!G19),(NºAsuntos!C19+NºAsuntos!E19)/NºAsuntos!G19," - ")</f>
        <v>3.6273584905660377</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gDgnC4xOyzTCRxQ8vTBnaaZMOfn9oQJe8jTecdwVBN1HisXP/XFROeGDK17iSxVQS/gNzjs9cgECMZsFN3532w==" saltValue="V1c/YJIATtjXBRQOaGNvE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MADRID</v>
      </c>
      <c r="G2" s="339"/>
      <c r="H2" s="338"/>
      <c r="I2" s="338"/>
      <c r="J2" s="338"/>
      <c r="K2" s="338"/>
      <c r="L2" s="338" t="str">
        <f>Criterios!A10 &amp;"  "&amp;Criterios!B10</f>
        <v>Provincias  MADRID</v>
      </c>
      <c r="N2" s="338" t="str">
        <f>Criterios!A11 &amp;"  "&amp;Criterios!B11</f>
        <v>Resumenes por Partidos Judiciales  NAVALCARNERO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74</v>
      </c>
      <c r="G10" s="342">
        <f>IF(ISNUMBER(Datos!I10),Datos!I10," - ")</f>
        <v>74</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8</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22</v>
      </c>
      <c r="X10" s="230">
        <f>IF(ISNUMBER(Datos!Q10),Datos!Q10," - ")</f>
        <v>11</v>
      </c>
      <c r="Y10" s="343">
        <f t="shared" ref="Y10:Y12" si="0">SUM(W10:X10)</f>
        <v>33</v>
      </c>
      <c r="Z10" s="344" t="str">
        <f>IF(ISNUMBER(Datos!CC10),Datos!CC10," - ")</f>
        <v xml:space="preserve"> - </v>
      </c>
      <c r="AA10" s="341">
        <f>IF(ISNUMBER(Datos!L10),Datos!L10,"-")</f>
        <v>77</v>
      </c>
      <c r="AB10" s="343">
        <f>IF(ISNUMBER(Datos!R10),Datos!R10," - ")</f>
        <v>85</v>
      </c>
      <c r="AC10" s="343">
        <f t="shared" ref="AC10:AC12" si="1">IF(ISNUMBER(AA10+AB10),AA10+AB10," - ")</f>
        <v>162</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9</v>
      </c>
      <c r="AJ10" s="235" t="str">
        <f>IF(ISNUMBER(Datos!BW10),Datos!BW10," - ")</f>
        <v xml:space="preserve"> - </v>
      </c>
      <c r="AK10" s="236" t="str">
        <f>IF(ISNUMBER(Datos!BX10),Datos!BX10," - ")</f>
        <v xml:space="preserve"> - </v>
      </c>
      <c r="AL10" s="247">
        <f>IF(ISNUMBER(NºAsuntos!G10/NºAsuntos!E10),NºAsuntos!G10/NºAsuntos!E10," - ")</f>
        <v>0.88</v>
      </c>
      <c r="AM10" s="264">
        <f>IF(ISNUMBER(((NºAsuntos!I10/NºAsuntos!G10)*11)/factor_trimestre),((NºAsuntos!I10/NºAsuntos!G10)*11)/factor_trimestre," - ")</f>
        <v>7</v>
      </c>
      <c r="AN10" s="248">
        <f>IF(ISNUMBER('Resol  Asuntos'!D10/NºAsuntos!G10),'Resol  Asuntos'!D10/NºAsuntos!G10," - ")</f>
        <v>0.40909090909090912</v>
      </c>
      <c r="AO10" s="249">
        <f>IF(ISNUMBER((NºAsuntos!C10+NºAsuntos!E10)/NºAsuntos!G10),(NºAsuntos!C10+NºAsuntos!E10)/NºAsuntos!G10," - ")</f>
        <v>4.5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8</v>
      </c>
      <c r="B12" s="279" t="s">
        <v>249</v>
      </c>
      <c r="C12" s="7" t="str">
        <f>Datos!A12</f>
        <v xml:space="preserve">Jdos. 1ª Instª. e Instr.                        </v>
      </c>
      <c r="D12" s="7"/>
      <c r="E12" s="1201">
        <f>IF(ISNUMBER(Datos!AQ12),Datos!AQ12," - ")</f>
        <v>8</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322</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262</v>
      </c>
      <c r="Y12" s="343">
        <f t="shared" si="0"/>
        <v>262</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7700</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231</v>
      </c>
      <c r="AJ12" s="233" t="str">
        <f>IF(ISNUMBER(Datos!BW12),Datos!BW12," - ")</f>
        <v xml:space="preserve"> - </v>
      </c>
      <c r="AK12" s="232" t="str">
        <f>IF(ISNUMBER(Datos!BX12),Datos!BX12," - ")</f>
        <v xml:space="preserve"> - </v>
      </c>
      <c r="AL12" s="247">
        <f>IF(ISNUMBER(NºAsuntos!G12/NºAsuntos!E12),NºAsuntos!G12/NºAsuntos!E12," - ")</f>
        <v>0.97355533790401572</v>
      </c>
      <c r="AM12" s="264">
        <f>IF(ISNUMBER(((NºAsuntos!I12/NºAsuntos!G12)*11)/factor_trimestre),((NºAsuntos!I12/NºAsuntos!G12)*11)/factor_trimestre," - ")</f>
        <v>7.73943661971831</v>
      </c>
      <c r="AN12" s="248">
        <f>IF(ISNUMBER('Resol  Asuntos'!D12/NºAsuntos!G12),'Resol  Asuntos'!D12/NºAsuntos!G12," - ")</f>
        <v>0.11619718309859155</v>
      </c>
      <c r="AO12" s="249">
        <f>IF(ISNUMBER((NºAsuntos!C12+NºAsuntos!E12)/NºAsuntos!G12),(NºAsuntos!C12+NºAsuntos!E12)/NºAsuntos!G12," - ")</f>
        <v>4.9255533199195174</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8</v>
      </c>
      <c r="F13" s="1011">
        <f t="shared" si="3"/>
        <v>74</v>
      </c>
      <c r="G13" s="1012">
        <f t="shared" si="3"/>
        <v>74</v>
      </c>
      <c r="H13" s="1011">
        <f t="shared" si="3"/>
        <v>0</v>
      </c>
      <c r="I13" s="1013">
        <f t="shared" si="3"/>
        <v>0</v>
      </c>
      <c r="J13" s="1013">
        <f t="shared" si="3"/>
        <v>0</v>
      </c>
      <c r="K13" s="1013">
        <f t="shared" si="3"/>
        <v>0</v>
      </c>
      <c r="L13" s="1013">
        <f t="shared" si="3"/>
        <v>330</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22</v>
      </c>
      <c r="X13" s="1013">
        <f t="shared" si="4"/>
        <v>273</v>
      </c>
      <c r="Y13" s="1014">
        <f t="shared" si="4"/>
        <v>295</v>
      </c>
      <c r="Z13" s="1014">
        <f t="shared" si="4"/>
        <v>0</v>
      </c>
      <c r="AA13" s="1014">
        <f t="shared" si="4"/>
        <v>77</v>
      </c>
      <c r="AB13" s="1014">
        <f t="shared" si="4"/>
        <v>7785</v>
      </c>
      <c r="AC13" s="1014">
        <f t="shared" si="4"/>
        <v>162</v>
      </c>
      <c r="AD13" s="1014">
        <f t="shared" si="4"/>
        <v>0</v>
      </c>
      <c r="AE13" s="1018">
        <f t="shared" si="4"/>
        <v>0</v>
      </c>
      <c r="AF13" s="1011">
        <f t="shared" si="4"/>
        <v>0</v>
      </c>
      <c r="AG13" s="1019">
        <f t="shared" si="4"/>
        <v>0</v>
      </c>
      <c r="AH13" s="1016">
        <f t="shared" si="4"/>
        <v>0</v>
      </c>
      <c r="AI13" s="1011">
        <f t="shared" si="4"/>
        <v>240</v>
      </c>
      <c r="AJ13" s="1013">
        <f t="shared" si="4"/>
        <v>0</v>
      </c>
      <c r="AK13" s="1016">
        <f>SUBTOTAL(9,AK9:AK12)</f>
        <v>0</v>
      </c>
      <c r="AL13" s="1020">
        <f>IF(ISNUMBER(NºAsuntos!G13/NºAsuntos!E13),NºAsuntos!G13/NºAsuntos!E13," - ")</f>
        <v>0.97242380261248185</v>
      </c>
      <c r="AM13" s="1020">
        <f>IF(ISNUMBER(((NºAsuntos!I13/NºAsuntos!G13)*11)/factor_trimestre),((NºAsuntos!I13/NºAsuntos!G13)*11)/factor_trimestre," - ")</f>
        <v>7.7313432835820892</v>
      </c>
      <c r="AN13" s="1021">
        <f>IF(ISNUMBER('Resol  Asuntos'!D13/NºAsuntos!G13),'Resol  Asuntos'!D13/NºAsuntos!G13," - ")</f>
        <v>0.11940298507462686</v>
      </c>
      <c r="AO13" s="1022">
        <f>IF(ISNUMBER((NºAsuntos!C13+NºAsuntos!E13)/NºAsuntos!G13),(NºAsuntos!C13+NºAsuntos!E13)/NºAsuntos!G13," - ")</f>
        <v>4.9208955223880597</v>
      </c>
      <c r="AP13" s="1023" t="str">
        <f t="shared" si="2"/>
        <v xml:space="preserve"> - </v>
      </c>
      <c r="AQ13" s="1023">
        <f>IF(ISNUMBER((H13-W13+K13)/(F13)),(H13-W13+K13)/(F13)," - ")</f>
        <v>-0.29729729729729731</v>
      </c>
      <c r="AR13" s="1024">
        <f>IF(ISNUMBER((Datos!P13-Datos!Q13)/(Datos!R13-Datos!P13+Datos!Q13)),(Datos!P13-Datos!Q13)/(Datos!R13-Datos!P13+Datos!Q13)," - ")</f>
        <v>7.375776397515528E-3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8</v>
      </c>
      <c r="B16" s="279" t="s">
        <v>400</v>
      </c>
      <c r="C16" s="164" t="str">
        <f>Datos!A16</f>
        <v xml:space="preserve">Jdos. 1ª Instª. e Instr.                        </v>
      </c>
      <c r="D16" s="164"/>
      <c r="E16" s="1201">
        <f>IF(ISNUMBER(Datos!AQ16),Datos!AQ16," - ")</f>
        <v>8</v>
      </c>
      <c r="F16" s="229">
        <f>IF(ISNUMBER(AA16+W16-Datos!J16-K16),AA16+W16-Datos!J16-K16," - ")</f>
        <v>1840</v>
      </c>
      <c r="G16" s="342">
        <f>IF(ISNUMBER(IF(D_I="SI",Datos!I16,Datos!I16+Datos!AC16)),IF(D_I="SI",Datos!I16,Datos!I16+Datos!AC16)," - ")</f>
        <v>1804</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80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1662</v>
      </c>
      <c r="X16" s="230">
        <f>IF(ISNUMBER(Datos!Q16),Datos!Q16," - ")</f>
        <v>81</v>
      </c>
      <c r="Y16" s="343">
        <f t="shared" ref="Y16:Y17" si="7">SUM(W16:X16)</f>
        <v>1743</v>
      </c>
      <c r="Z16" s="344" t="str">
        <f>IF(ISNUMBER(Datos!CC16),Datos!CC16," - ")</f>
        <v xml:space="preserve"> - </v>
      </c>
      <c r="AA16" s="341">
        <f>IF(ISNUMBER(IF(D_I="SI",Datos!L16,Datos!L16+Datos!AF16)),IF(D_I="SI",Datos!L16,Datos!L16+Datos!AF16)," - ")</f>
        <v>2012</v>
      </c>
      <c r="AB16" s="343">
        <f>IF(ISNUMBER(Datos!R16),Datos!R16," - ")</f>
        <v>331</v>
      </c>
      <c r="AC16" s="343">
        <f t="shared" si="6"/>
        <v>2343</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230</v>
      </c>
      <c r="AJ16" s="235" t="str">
        <f>IF(ISNUMBER(Datos!BW16),Datos!BW16," - ")</f>
        <v xml:space="preserve"> - </v>
      </c>
      <c r="AK16" s="236" t="str">
        <f>IF(ISNUMBER(Datos!BX16),Datos!BX16," - ")</f>
        <v xml:space="preserve"> - </v>
      </c>
      <c r="AL16" s="247">
        <f>IF(ISNUMBER(NºAsuntos!G16/NºAsuntos!E16),NºAsuntos!G16/NºAsuntos!E16," - ")</f>
        <v>0.90621592148309704</v>
      </c>
      <c r="AM16" s="264">
        <f>IF(ISNUMBER(((NºAsuntos!I16/NºAsuntos!G16)*11)/factor_trimestre),((NºAsuntos!I16/NºAsuntos!G16)*11)/factor_trimestre," - ")</f>
        <v>2.421179302045728</v>
      </c>
      <c r="AN16" s="248">
        <f>IF(ISNUMBER('Resol  Asuntos'!D16/NºAsuntos!G16),'Resol  Asuntos'!D16/NºAsuntos!G16," - ")</f>
        <v>0.13838748495788206</v>
      </c>
      <c r="AO16" s="249">
        <f>IF(ISNUMBER((NºAsuntos!C16+NºAsuntos!E16)/NºAsuntos!G16),(NºAsuntos!C16+NºAsuntos!E16)/NºAsuntos!G16," - ")</f>
        <v>2.1889290012033693</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191</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144</v>
      </c>
      <c r="X17" s="230">
        <f>IF(ISNUMBER(Datos!Q17),Datos!Q17," - ")</f>
        <v>0</v>
      </c>
      <c r="Y17" s="343">
        <f t="shared" si="7"/>
        <v>144</v>
      </c>
      <c r="Z17" s="344" t="str">
        <f>IF(ISNUMBER(Datos!CC17),Datos!CC17," - ")</f>
        <v xml:space="preserve"> - </v>
      </c>
      <c r="AA17" s="341">
        <f>IF(ISNUMBER(Datos!L17),Datos!L17,"-")</f>
        <v>169</v>
      </c>
      <c r="AB17" s="343">
        <f>IF(ISNUMBER(Datos!R17),Datos!R17," - ")</f>
        <v>0</v>
      </c>
      <c r="AC17" s="343">
        <f t="shared" si="6"/>
        <v>169</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12</v>
      </c>
      <c r="AJ17" s="235" t="str">
        <f>IF(ISNUMBER(Datos!BW17),Datos!BW17," - ")</f>
        <v xml:space="preserve"> - </v>
      </c>
      <c r="AK17" s="236" t="str">
        <f>IF(ISNUMBER(Datos!BX17),Datos!BX17," - ")</f>
        <v xml:space="preserve"> - </v>
      </c>
      <c r="AL17" s="247">
        <f>IF(ISNUMBER(NºAsuntos!G17/NºAsuntos!E17),NºAsuntos!G17/NºAsuntos!E17," - ")</f>
        <v>1.180327868852459</v>
      </c>
      <c r="AM17" s="264">
        <f>IF(ISNUMBER(((NºAsuntos!I17/NºAsuntos!G17)*11)/factor_trimestre),((NºAsuntos!I17/NºAsuntos!G17)*11)/factor_trimestre," - ")</f>
        <v>2.3472222222222223</v>
      </c>
      <c r="AN17" s="248">
        <f>IF(ISNUMBER('Resol  Asuntos'!D17/NºAsuntos!G17),'Resol  Asuntos'!D17/NºAsuntos!G17," - ")</f>
        <v>8.3333333333333329E-2</v>
      </c>
      <c r="AO17" s="249">
        <f>IF(ISNUMBER((NºAsuntos!C17+NºAsuntos!E17)/NºAsuntos!G17),(NºAsuntos!C17+NºAsuntos!E17)/NºAsuntos!G17," - ")</f>
        <v>2.1736111111111112</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8</v>
      </c>
      <c r="F18" s="1011">
        <f>SUBTOTAL(9,F14:F17)</f>
        <v>1840</v>
      </c>
      <c r="G18" s="1012">
        <f>SUBTOTAL(9,G15:G17)</f>
        <v>1995</v>
      </c>
      <c r="H18" s="1011">
        <f t="shared" ref="H18:O18" si="10">SUBTOTAL(9,H14:H17)</f>
        <v>0</v>
      </c>
      <c r="I18" s="1013">
        <f t="shared" si="10"/>
        <v>0</v>
      </c>
      <c r="J18" s="1013">
        <f t="shared" si="10"/>
        <v>0</v>
      </c>
      <c r="K18" s="1013">
        <f t="shared" si="10"/>
        <v>0</v>
      </c>
      <c r="L18" s="1013">
        <f t="shared" si="10"/>
        <v>80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1806</v>
      </c>
      <c r="X18" s="1013">
        <f t="shared" si="11"/>
        <v>81</v>
      </c>
      <c r="Y18" s="1014">
        <f t="shared" si="11"/>
        <v>1887</v>
      </c>
      <c r="Z18" s="1014">
        <f t="shared" si="11"/>
        <v>0</v>
      </c>
      <c r="AA18" s="1014">
        <f t="shared" si="11"/>
        <v>2181</v>
      </c>
      <c r="AB18" s="1014">
        <f t="shared" si="11"/>
        <v>331</v>
      </c>
      <c r="AC18" s="1014">
        <f t="shared" si="11"/>
        <v>2512</v>
      </c>
      <c r="AD18" s="1014">
        <f t="shared" si="11"/>
        <v>0</v>
      </c>
      <c r="AE18" s="1018">
        <f t="shared" si="11"/>
        <v>0</v>
      </c>
      <c r="AF18" s="1011">
        <f t="shared" si="11"/>
        <v>0</v>
      </c>
      <c r="AG18" s="1019">
        <f t="shared" si="11"/>
        <v>0</v>
      </c>
      <c r="AH18" s="1016">
        <f t="shared" si="11"/>
        <v>0</v>
      </c>
      <c r="AI18" s="1011">
        <f t="shared" si="11"/>
        <v>242</v>
      </c>
      <c r="AJ18" s="1013">
        <f t="shared" si="11"/>
        <v>0</v>
      </c>
      <c r="AK18" s="1016">
        <f t="shared" si="11"/>
        <v>0</v>
      </c>
      <c r="AL18" s="1020">
        <f>IF(ISNUMBER(NºAsuntos!G18/NºAsuntos!E18),NºAsuntos!G18/NºAsuntos!E18," - ")</f>
        <v>0.92331288343558282</v>
      </c>
      <c r="AM18" s="1020">
        <f>IF(ISNUMBER(((NºAsuntos!I18/NºAsuntos!G18)*11)/factor_trimestre),((NºAsuntos!I18/NºAsuntos!G18)*11)/factor_trimestre," - ")</f>
        <v>2.4152823920265782</v>
      </c>
      <c r="AN18" s="1021">
        <f>IF(ISNUMBER('Resol  Asuntos'!D18/NºAsuntos!G18),'Resol  Asuntos'!D18/NºAsuntos!G18," - ")</f>
        <v>0.13399778516057587</v>
      </c>
      <c r="AO18" s="1022">
        <f>IF(ISNUMBER((NºAsuntos!C18+NºAsuntos!E18)/NºAsuntos!G18),(NºAsuntos!C18+NºAsuntos!E18)/NºAsuntos!G18," - ")</f>
        <v>2.1877076411960132</v>
      </c>
      <c r="AP18" s="1023" t="str">
        <f t="shared" si="2"/>
        <v xml:space="preserve"> - </v>
      </c>
      <c r="AQ18" s="1023">
        <f>IF(ISNUMBER((H18-W18+K18)/(F18)),(H18-W18+K18)/(F18)," - ")</f>
        <v>-0.98152173913043483</v>
      </c>
      <c r="AR18" s="1024">
        <f>IF(ISNUMBER((Datos!P18-Datos!Q18)/(Datos!R18-Datos!P18+Datos!Q18)),(Datos!P18-Datos!Q18)/(Datos!R18-Datos!P18+Datos!Q18)," - ")</f>
        <v>-3.0120481927710845E-3</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16</v>
      </c>
      <c r="F19" s="966">
        <f t="shared" si="13"/>
        <v>1914</v>
      </c>
      <c r="G19" s="967">
        <f t="shared" si="13"/>
        <v>2069</v>
      </c>
      <c r="H19" s="966">
        <f t="shared" si="13"/>
        <v>0</v>
      </c>
      <c r="I19" s="968">
        <f t="shared" si="13"/>
        <v>0</v>
      </c>
      <c r="J19" s="968">
        <f t="shared" si="13"/>
        <v>0</v>
      </c>
      <c r="K19" s="1027">
        <f t="shared" si="13"/>
        <v>0</v>
      </c>
      <c r="L19" s="968">
        <f t="shared" si="13"/>
        <v>410</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1828</v>
      </c>
      <c r="X19" s="967">
        <f t="shared" si="14"/>
        <v>354</v>
      </c>
      <c r="Y19" s="974">
        <f t="shared" si="14"/>
        <v>2182</v>
      </c>
      <c r="Z19" s="974">
        <f t="shared" si="14"/>
        <v>0</v>
      </c>
      <c r="AA19" s="974">
        <f t="shared" si="14"/>
        <v>2258</v>
      </c>
      <c r="AB19" s="974">
        <f t="shared" si="14"/>
        <v>8116</v>
      </c>
      <c r="AC19" s="974">
        <f t="shared" si="14"/>
        <v>2674</v>
      </c>
      <c r="AD19" s="974">
        <f t="shared" si="14"/>
        <v>0</v>
      </c>
      <c r="AE19" s="976">
        <f t="shared" si="14"/>
        <v>0</v>
      </c>
      <c r="AF19" s="977">
        <f t="shared" si="14"/>
        <v>0</v>
      </c>
      <c r="AG19" s="978">
        <f t="shared" si="14"/>
        <v>0</v>
      </c>
      <c r="AH19" s="976">
        <f t="shared" si="14"/>
        <v>0</v>
      </c>
      <c r="AI19" s="966">
        <f t="shared" si="14"/>
        <v>482</v>
      </c>
      <c r="AJ19" s="966">
        <f t="shared" si="14"/>
        <v>0</v>
      </c>
      <c r="AK19" s="976">
        <f t="shared" si="14"/>
        <v>0</v>
      </c>
      <c r="AL19" s="1030">
        <f>IF(ISNUMBER(NºAsuntos!G19/NºAsuntos!E19),NºAsuntos!G19/NºAsuntos!E19," - ")</f>
        <v>0.94854586129753915</v>
      </c>
      <c r="AM19" s="1031">
        <f>IF(ISNUMBER(((NºAsuntos!I19/NºAsuntos!G19)*11)/factor_trimestre),((NºAsuntos!I19/NºAsuntos!G19)*11)/factor_trimestre," - ")</f>
        <v>5.2154088050314469</v>
      </c>
      <c r="AN19" s="1031">
        <f>IF(ISNUMBER('Resol  Asuntos'!D19/NºAsuntos!G19),'Resol  Asuntos'!D19/NºAsuntos!G19," - ")</f>
        <v>0.12631027253668764</v>
      </c>
      <c r="AO19" s="1032">
        <f>IF(ISNUMBER((NºAsuntos!C19+NºAsuntos!E19)/NºAsuntos!G19),(NºAsuntos!C19+NºAsuntos!E19)/NºAsuntos!G19," - ")</f>
        <v>3.6273584905660377</v>
      </c>
      <c r="AP19" s="1033" t="str">
        <f t="shared" si="2"/>
        <v xml:space="preserve"> - </v>
      </c>
      <c r="AQ19" s="1034">
        <f>IF(OR(ISNUMBER(FIND("01",Criterios!A8,1)),ISNUMBER(FIND("02",Criterios!A8,1)),ISNUMBER(FIND("03",Criterios!A8,1)),ISNUMBER(FIND("04",Criterios!A8,1))),(I19-W19+K19)/(F19-K19),(H19-W19+K19)/(F19-K19))</f>
        <v>-0.95506792058516199</v>
      </c>
      <c r="AR19" s="1035">
        <f>IF(ISNUMBER((Datos!P19-Datos!Q19)/(Datos!R19-Datos!P19+Datos!Q19)),(Datos!P19-Datos!Q19)/(Datos!R19-Datos!P19+Datos!Q19)," - ")</f>
        <v>6.9478908188585608E-3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827.6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4.2163702135578394</v>
      </c>
      <c r="F21" s="256">
        <f>IF(ISNUMBER(STDEV(F8:F18)),STDEV(F8:F18),"-")</f>
        <v>1019.6005753888791</v>
      </c>
      <c r="G21" s="257">
        <f>IF(ISNUMBER(STDEV(G8:G18)),STDEV(G8:G18),"-")</f>
        <v>981.99607942190892</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918.19344367077679</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116.41935692429618</v>
      </c>
      <c r="AJ21" s="256">
        <f t="shared" si="18"/>
        <v>0</v>
      </c>
      <c r="AK21" s="258">
        <f t="shared" si="18"/>
        <v>0</v>
      </c>
      <c r="AL21" s="253">
        <f t="shared" si="18"/>
        <v>0.10822442209198815</v>
      </c>
      <c r="AM21" s="254">
        <f t="shared" si="18"/>
        <v>2.8040385575450988</v>
      </c>
      <c r="AN21" s="254">
        <f t="shared" si="18"/>
        <v>0.12030122367840115</v>
      </c>
      <c r="AO21" s="255">
        <f t="shared" si="18"/>
        <v>1.43176070891884</v>
      </c>
      <c r="AP21" s="295" t="str">
        <f t="shared" si="18"/>
        <v>-</v>
      </c>
      <c r="AQ21" s="296">
        <f t="shared" si="18"/>
        <v>0.48381974267379213</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tObHjGwV3GXzP3aq9tttf9+3lU1mtqfvvVj7Yjhoz4Jeqi7VzC+taX4A52QjxwRqfDy5GSQRabXaY/69PlqC6Q==" saltValue="WYLVAxXEnHRLtaR345VoI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MADRID</v>
      </c>
      <c r="E2" s="267"/>
    </row>
    <row r="3" spans="2:20" ht="17.25" customHeight="1">
      <c r="C3" s="271"/>
      <c r="D3" s="266" t="str">
        <f>Criterios!A10 &amp;"  "&amp;Criterios!B10</f>
        <v>Provincias  MADRID</v>
      </c>
      <c r="E3" s="267"/>
    </row>
    <row r="4" spans="2:20" ht="17.25" customHeight="1" thickBot="1">
      <c r="D4" s="266" t="str">
        <f>Criterios!A11 &amp;"  "&amp;Criterios!B11</f>
        <v>Resumenes por Partidos Judiciales  NAVALCARNERO</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-0.13953488372093023</v>
      </c>
      <c r="E10" s="357">
        <f>IF(ISNUMBER((Datos!J10-Datos!T10)/Datos!T10),(Datos!J10-Datos!T10)/Datos!T10," - ")</f>
        <v>1.5</v>
      </c>
      <c r="F10" s="357">
        <f>IF(ISNUMBER((Datos!K10-Datos!U10)/Datos!U10),(Datos!K10-Datos!U10)/Datos!U10," - ")</f>
        <v>1.75</v>
      </c>
      <c r="G10" s="358">
        <f>IF(ISNUMBER((Datos!L10-Datos!V10)/Datos!V10),(Datos!L10-Datos!V10)/Datos!V10," - ")</f>
        <v>-0.125</v>
      </c>
      <c r="H10" s="234">
        <f>IF(ISNUMBER((Datos!M10-Datos!W10)/Datos!W10),(Datos!M10-Datos!W10)/Datos!W10," - ")</f>
        <v>1.25</v>
      </c>
      <c r="I10" s="359">
        <f>IF(ISNUMBER((Tasas!C10-Datos!BE10)/Datos!BE10),(Tasas!C10-Datos!BE10)/Datos!BE10," - ")</f>
        <v>-0.68181818181818177</v>
      </c>
      <c r="J10" s="358">
        <f>IF(ISNUMBER((Tasas!D10-Datos!BF10)/Datos!BF10),(Tasas!D10-Datos!BF10)/Datos!BF10," - ")</f>
        <v>-0.18181818181818177</v>
      </c>
      <c r="K10" s="360">
        <f>IF(ISNUMBER((Tasas!E10-Datos!BG10)/Datos!BG10),(Tasas!E10-Datos!BG10)/Datos!BG10," - ")</f>
        <v>-0.625</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-3.7499999999999999E-2</v>
      </c>
      <c r="I12" s="359">
        <f>IF(ISNUMBER((Tasas!C12-Datos!BE12)/Datos!BE12),(Tasas!C12-Datos!BE12)/Datos!BE12," - ")</f>
        <v>-0.12064269881817363</v>
      </c>
      <c r="J12" s="358">
        <f>IF(ISNUMBER((Tasas!D12-Datos!BF12)/Datos!BF12),(Tasas!D12-Datos!BF12)/Datos!BF12," - ")</f>
        <v>-0.76586049463237493</v>
      </c>
      <c r="K12" s="360">
        <f>IF(ISNUMBER((Tasas!E12-Datos!BG12)/Datos!BG12),(Tasas!E12-Datos!BG12)/Datos!BG12," - ")</f>
        <v>-8.9326958535780529E-2</v>
      </c>
      <c r="M12" t="e">
        <f>IF(Monitorios="SI",Datos!CE12,0)</f>
        <v>#REF!</v>
      </c>
      <c r="N12" t="e">
        <f>IF(Monitorios="SI",Datos!CF12,0)</f>
        <v>#REF!</v>
      </c>
      <c r="O12" t="e">
        <f>IF(Monitorios="SI",Datos!CG12,0)</f>
        <v>#REF!</v>
      </c>
      <c r="P12" t="e">
        <f>IF(Monitorios="SI",Datos!CH12,0)</f>
        <v>#REF!</v>
      </c>
      <c r="Q12">
        <f>IF(J_V="SI",0,Datos!AG12)</f>
        <v>517</v>
      </c>
      <c r="R12">
        <f>IF(J_V="SI",0,Datos!AH12)</f>
        <v>377</v>
      </c>
      <c r="S12">
        <f>IF(J_V="SI",0,Datos!AI12)</f>
        <v>300</v>
      </c>
      <c r="T12">
        <f>IF(J_V="SI",0,Datos!AJ12)</f>
        <v>593</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-1.6393442622950821E-2</v>
      </c>
      <c r="I13" s="366">
        <f>IF(ISNUMBER((Tasas!C13-Datos!BE13)/Datos!BE13),(Tasas!C13-Datos!BE13)/Datos!BE13," - ")</f>
        <v>-0.12802778245951335</v>
      </c>
      <c r="J13" s="364">
        <f>IF(ISNUMBER((Tasas!D13-Datos!BF13)/Datos!BF13),(Tasas!D13-Datos!BF13)/Datos!BF13," - ")</f>
        <v>-0.75940967640006685</v>
      </c>
      <c r="K13" s="367">
        <f>IF(ISNUMBER((Tasas!E13-Datos!BG13)/Datos!BG13),(Tasas!E13-Datos!BG13)/Datos!BG13," - ")</f>
        <v>-9.5637329029545526E-2</v>
      </c>
      <c r="M13" t="e">
        <f>IF(Monitorios="SI",Datos!CE13,0)</f>
        <v>#REF!</v>
      </c>
      <c r="N13" t="e">
        <f>IF(Monitorios="SI",Datos!CF13,0)</f>
        <v>#REF!</v>
      </c>
      <c r="O13" t="e">
        <f>IF(Monitorios="SI",Datos!CG13,0)</f>
        <v>#REF!</v>
      </c>
      <c r="P13" t="e">
        <f>IF(Monitorios="SI",Datos!CH13,0)</f>
        <v>#REF!</v>
      </c>
      <c r="Q13">
        <f>IF(J_V="SI",0,Datos!AG13)</f>
        <v>517</v>
      </c>
      <c r="R13">
        <f>IF(J_V="SI",0,Datos!AH13)</f>
        <v>377</v>
      </c>
      <c r="S13">
        <f>IF(J_V="SI",0,Datos!AI13)</f>
        <v>300</v>
      </c>
      <c r="T13">
        <f>IF(J_V="SI",0,Datos!AJ13)</f>
        <v>593</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0.15863840719332048</v>
      </c>
      <c r="E16" s="357">
        <f>IF(ISNUMBER(
   IF(D_I="SI",(Datos!J16-Datos!T16)/Datos!T16,(Datos!J16+Datos!AD16-(Datos!T16+Datos!AL16))/(Datos!T16+Datos!AL16))
     ),IF(D_I="SI",(Datos!J16-Datos!T16)/Datos!T16,(Datos!J16+Datos!AD16-(Datos!T16+Datos!AL16))/(Datos!T16+Datos!AL16))," - ")</f>
        <v>0.11286407766990292</v>
      </c>
      <c r="F16" s="357">
        <f>IF(ISNUMBER(
   IF(D_I="SI",(Datos!K16-Datos!U16)/Datos!U16,(Datos!K16+Datos!AE16-(Datos!U16+Datos!AM16))/(Datos!U16+Datos!AM16))
     ),IF(D_I="SI",(Datos!K16-Datos!U16)/Datos!U16,(Datos!K16+Datos!AE16-(Datos!U16+Datos!AM16))/(Datos!U16+Datos!AM16))," - ")</f>
        <v>0.15096952908587258</v>
      </c>
      <c r="G16" s="358">
        <f>IF(ISNUMBER(
   IF(D_I="SI",(Datos!L16-Datos!V16)/Datos!V16,(Datos!L16+Datos!AF16-(Datos!V16+Datos!AN16))/(Datos!V16+Datos!AN16))
     ),IF(D_I="SI",(Datos!L16-Datos!V16)/Datos!V16,(Datos!L16+Datos!AF16-(Datos!V16+Datos!AN16))/(Datos!V16+Datos!AN16))," - ")</f>
        <v>0.12465064281721633</v>
      </c>
      <c r="H16" s="234">
        <f>IF(ISNUMBER((Datos!M16-Datos!W16)/Datos!W16),(Datos!M16-Datos!W16)/Datos!W16," - ")</f>
        <v>2.6785714285714284E-2</v>
      </c>
      <c r="I16" s="359">
        <f>IF(ISNUMBER((Tasas!C16-Datos!BE16)/Datos!BE16),(Tasas!C16-Datos!BE16)/Datos!BE16," - ")</f>
        <v>-2.2866709850745983E-2</v>
      </c>
      <c r="J16" s="358">
        <f>IF(ISNUMBER((Tasas!D16-Datos!BF16)/Datos!BF16),(Tasas!D16-Datos!BF16)/Datos!BF16," - ")</f>
        <v>-0.10789496303936739</v>
      </c>
      <c r="K16" s="360">
        <f>IF(ISNUMBER((Tasas!E16-Datos!BG16)/Datos!BG16),(Tasas!E16-Datos!BG16)/Datos!BG16," - ")</f>
        <v>-1.3786746415705093E-2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0.24836601307189543</v>
      </c>
      <c r="E17" s="357">
        <f>IF(ISNUMBER(
   IF(D_I="SI",(Datos!J17-Datos!T17)/Datos!T17,(Datos!J17+Datos!AD17-(Datos!T17+Datos!AL17))/(Datos!T17+Datos!AL17))
     ),IF(D_I="SI",(Datos!J17-Datos!T17)/Datos!T17,(Datos!J17+Datos!AD17-(Datos!T17+Datos!AL17))/(Datos!T17+Datos!AL17))," - ")</f>
        <v>-0.452914798206278</v>
      </c>
      <c r="F17" s="357">
        <f>IF(ISNUMBER(
   IF(D_I="SI",(Datos!K17-Datos!U17)/Datos!U17,(Datos!K17+Datos!AE17-(Datos!U17+Datos!AM17))/(Datos!U17+Datos!AM17))
     ),IF(D_I="SI",(Datos!K17-Datos!U17)/Datos!U17,(Datos!K17+Datos!AE17-(Datos!U17+Datos!AM17))/(Datos!U17+Datos!AM17))," - ")</f>
        <v>-0.1864406779661017</v>
      </c>
      <c r="G17" s="358">
        <f>IF(ISNUMBER(
   IF(D_I="SI",(Datos!L17-Datos!V17)/Datos!V17,(Datos!L17+Datos!AF17-(Datos!V17+Datos!AN17))/(Datos!V17+Datos!AN17))
     ),IF(D_I="SI",(Datos!L17-Datos!V17)/Datos!V17,(Datos!L17+Datos!AF17-(Datos!V17+Datos!AN17))/(Datos!V17+Datos!AN17))," - ")</f>
        <v>-0.15075376884422109</v>
      </c>
      <c r="H17" s="234">
        <f>IF(ISNUMBER((Datos!M17-Datos!W17)/Datos!W17),(Datos!M17-Datos!W17)/Datos!W17," - ")</f>
        <v>0.7142857142857143</v>
      </c>
      <c r="I17" s="359">
        <f>IF(ISNUMBER((Tasas!C17-Datos!BE17)/Datos!BE17),(Tasas!C17-Datos!BE17)/Datos!BE17," - ")</f>
        <v>4.3865159128978301E-2</v>
      </c>
      <c r="J17" s="358">
        <f>IF(ISNUMBER((Tasas!D17-Datos!BF17)/Datos!BF17),(Tasas!D17-Datos!BF17)/Datos!BF17," - ")</f>
        <v>1.1071428571428568</v>
      </c>
      <c r="K17" s="360">
        <f>IF(ISNUMBER((Tasas!E17-Datos!BG17)/Datos!BG17),(Tasas!E17-Datos!BG17)/Datos!BG17," - ")</f>
        <v>2.3215868794326282E-2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0.16666666666666666</v>
      </c>
      <c r="E18" s="363">
        <f>IF(ISNUMBER(
   IF(D_I="SI",(Datos!J18-Datos!T18)/Datos!T18,(Datos!J18+Datos!AD18-(Datos!T18+Datos!AL18))/(Datos!T18+Datos!AL18))
     ),IF(D_I="SI",(Datos!J18-Datos!T18)/Datos!T18,(Datos!J18+Datos!AD18-(Datos!T18+Datos!AL18))/(Datos!T18+Datos!AL18))," - ")</f>
        <v>4.5430251202565476E-2</v>
      </c>
      <c r="F18" s="363">
        <f>IF(ISNUMBER(
   IF(D_I="SI",(Datos!K18-Datos!U18)/Datos!U18,(Datos!K18+Datos!AE18-(Datos!U18+Datos!AM18))/(Datos!U18+Datos!AM18))
     ),IF(D_I="SI",(Datos!K18-Datos!U18)/Datos!U18,(Datos!K18+Datos!AE18-(Datos!U18+Datos!AM18))/(Datos!U18+Datos!AM18))," - ")</f>
        <v>0.11412708204811844</v>
      </c>
      <c r="G18" s="364">
        <f>IF(ISNUMBER(
   IF(D_I="SI",(Datos!L18-Datos!V18)/Datos!V18,(Datos!L18+Datos!AF18-(Datos!V18+Datos!AN18))/(Datos!V18+Datos!AN18))
     ),IF(D_I="SI",(Datos!L18-Datos!V18)/Datos!V18,(Datos!L18+Datos!AF18-(Datos!V18+Datos!AN18))/(Datos!V18+Datos!AN18))," - ")</f>
        <v>9.7082494969818911E-2</v>
      </c>
      <c r="H18" s="365">
        <f>IF(ISNUMBER((Datos!M18-Datos!W18)/Datos!W18),(Datos!M18-Datos!W18)/Datos!W18," - ")</f>
        <v>4.7619047619047616E-2</v>
      </c>
      <c r="I18" s="366">
        <f>IF(ISNUMBER((Tasas!C18-Datos!BE18)/Datos!BE18),(Tasas!C18-Datos!BE18)/Datos!BE18," - ")</f>
        <v>-1.5298602244697387E-2</v>
      </c>
      <c r="J18" s="364">
        <f>IF(ISNUMBER((Tasas!D18-Datos!BF18)/Datos!BF18),(Tasas!D18-Datos!BF18)/Datos!BF18," - ")</f>
        <v>-5.9695195907820423E-2</v>
      </c>
      <c r="K18" s="367">
        <f>IF(ISNUMBER((Tasas!E18-Datos!BG18)/Datos!BG18),(Tasas!E18-Datos!BG18)/Datos!BG18," - ")</f>
        <v>-9.6972671380235811E-3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0.15531238969290503</v>
      </c>
      <c r="E19" s="372">
        <f>IF(ISNUMBER(
   IF(J_V="SI",(Datos!J19-Datos!T19)/Datos!T19,(Datos!J19+Datos!Z19-(Datos!T19+Datos!AH19))/(Datos!T19+Datos!AH19))
     ),IF(J_V="SI",(Datos!J19-Datos!T19)/Datos!T19,(Datos!J19+Datos!Z19-(Datos!T19+Datos!AH19))/(Datos!T19+Datos!AH19))," - ")</f>
        <v>3.5254760679361813E-2</v>
      </c>
      <c r="F19" s="372">
        <f>IF(ISNUMBER(
   IF(J_V="SI",(Datos!K19-Datos!U19)/Datos!U19,(Datos!K19+Datos!AA19-(Datos!U19+Datos!AI19))/(Datos!U19+Datos!AI19))
     ),IF(J_V="SI",(Datos!K19-Datos!U19)/Datos!U19,(Datos!K19+Datos!AA19-(Datos!U19+Datos!AI19))/(Datos!U19+Datos!AI19))," - ")</f>
        <v>0.17814140166718123</v>
      </c>
      <c r="G19" s="373">
        <f>IF(ISNUMBER(
   IF(J_V="SI",(Datos!L19-Datos!V19)/Datos!V19,(Datos!L19+Datos!AB19-(Datos!V19+Datos!AJ19))/(Datos!V19+Datos!AJ19))
     ),IF(J_V="SI",(Datos!L19-Datos!V19)/Datos!V19,(Datos!L19+Datos!AB19-(Datos!V19+Datos!AJ19))/(Datos!V19+Datos!AJ19))," - ")</f>
        <v>8.6235127169522974E-2</v>
      </c>
      <c r="H19" s="374">
        <f>IF(ISNUMBER((Datos!M19-Datos!W19)/Datos!W19),(Datos!M19-Datos!W19)/Datos!W19," - ")</f>
        <v>1.4736842105263158E-2</v>
      </c>
      <c r="I19" s="371">
        <f>IF(ISNUMBER((Tasas!C19-Datos!BE19)/Datos!BE19),(Tasas!C19-Datos!BE19)/Datos!BE19," - ")</f>
        <v>-7.8009544836979833E-2</v>
      </c>
      <c r="J19" s="372">
        <f>IF(ISNUMBER((Tasas!D19-Datos!BF19)/Datos!BF19),(Tasas!D19-Datos!BF19)/Datos!BF19," - ")</f>
        <v>-0.60433368206350935</v>
      </c>
      <c r="K19" s="373">
        <f>IF(ISNUMBER((Tasas!E19-Datos!BG19)/Datos!BG19),(Tasas!E19-Datos!BG19)/Datos!BG19," - ")</f>
        <v>-5.1351299883456131E-2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0.17027528838545408</v>
      </c>
      <c r="E21" s="282">
        <f t="shared" si="1"/>
        <v>0.83799345044170415</v>
      </c>
      <c r="F21" s="282">
        <f t="shared" si="1"/>
        <v>0.87503929159250848</v>
      </c>
      <c r="G21" s="283">
        <f t="shared" si="1"/>
        <v>0.14443560879055281</v>
      </c>
      <c r="H21" s="289">
        <f t="shared" si="1"/>
        <v>0.53306552080769298</v>
      </c>
      <c r="I21" s="281">
        <f t="shared" si="1"/>
        <v>0.26681972704453683</v>
      </c>
      <c r="J21" s="282">
        <f t="shared" si="1"/>
        <v>0.68397195661031152</v>
      </c>
      <c r="K21" s="283">
        <f t="shared" si="1"/>
        <v>0.24460626583303358</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cj51Pfyo/9kexH/I1ejn2kOVU5UTByYRFRhVjvADemENeLhRdsdCH9iT/xcrweIJTAR0xT+rr6dYXZW9GAAZOA==" saltValue="WgD0eyJqk5/t/IuSqs8cR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2023-11-29T09:49:21Z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